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omments3.xml" ContentType="application/vnd.openxmlformats-officedocument.spreadsheetml.comments+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0.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1.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1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Override PartName="/xl/threadedComments/threadedComment1.xml" ContentType="application/vnd.ms-excel.threadedcomments+xml"/>
  <Override PartName="/xl/threadedComments/threadedComment2.xml" ContentType="application/vnd.ms-excel.threadedcomments+xml"/>
  <Override PartName="/xl/threadedComments/threadedComment3.xml" ContentType="application/vnd.ms-excel.threadedcomment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C:\Users\cecol\Documents\Jupyter Notebook - ML Work\Dashboard\DASHBOARD_CiiM_Project\data\"/>
    </mc:Choice>
  </mc:AlternateContent>
  <xr:revisionPtr revIDLastSave="0" documentId="13_ncr:1_{FF776158-2DCC-4645-A464-009ACECCE84F}" xr6:coauthVersionLast="47" xr6:coauthVersionMax="47" xr10:uidLastSave="{00000000-0000-0000-0000-000000000000}"/>
  <bookViews>
    <workbookView xWindow="-108" yWindow="-108" windowWidth="23256" windowHeight="12456" firstSheet="3" activeTab="4" xr2:uid="{32367490-77FD-4A7D-9F9B-D760F1E44377}"/>
  </bookViews>
  <sheets>
    <sheet name="PRODUTOS" sheetId="1" r:id="rId1"/>
    <sheet name="Frangos" sheetId="10" r:id="rId2"/>
    <sheet name="Ovos" sheetId="8" r:id="rId3"/>
    <sheet name="Azeite" sheetId="2" r:id="rId4"/>
    <sheet name="Queijo" sheetId="3" r:id="rId5"/>
    <sheet name="Viticultura" sheetId="4" r:id="rId6"/>
    <sheet name="Vinho Tinto" sheetId="20" r:id="rId7"/>
    <sheet name="Vinho V_B" sheetId="5" r:id="rId8"/>
    <sheet name="Arroz" sheetId="6" r:id="rId9"/>
    <sheet name="Porcos" sheetId="11" r:id="rId10"/>
    <sheet name="Citrinos" sheetId="14" r:id="rId11"/>
    <sheet name="Pasta de Papel" sheetId="13" r:id="rId12"/>
    <sheet name="Pasta e Papel " sheetId="7" r:id="rId13"/>
    <sheet name="Construção" sheetId="12" r:id="rId14"/>
    <sheet name="R. Piloto" sheetId="16" r:id="rId15"/>
    <sheet name="Fator d'importância face ao PIB" sheetId="15" r:id="rId16"/>
    <sheet name="Beiras" sheetId="19" r:id="rId17"/>
    <sheet name="Viseu" sheetId="18" r:id="rId18"/>
    <sheet name="Coimbra" sheetId="17" r:id="rId19"/>
  </sheets>
  <calcPr calcId="191028"/>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B21" i="2" l="1"/>
  <c r="AA21" i="2"/>
  <c r="Z21" i="2"/>
  <c r="AA100" i="6"/>
  <c r="K46" i="15"/>
  <c r="J46" i="15"/>
  <c r="I46" i="15"/>
  <c r="E48" i="15"/>
  <c r="E47" i="15"/>
  <c r="Z10" i="5"/>
  <c r="Z6" i="5"/>
  <c r="AD100" i="6"/>
  <c r="AC100" i="6"/>
  <c r="AB100" i="6"/>
  <c r="M7" i="8"/>
  <c r="M8" i="8"/>
  <c r="M9" i="8"/>
  <c r="M10" i="8"/>
  <c r="M11" i="8"/>
  <c r="M13" i="8"/>
  <c r="M14" i="8"/>
  <c r="M15" i="8"/>
  <c r="M16" i="8"/>
  <c r="M17" i="8"/>
  <c r="M18" i="8"/>
  <c r="M6" i="8"/>
  <c r="Z71" i="6"/>
  <c r="Z84" i="6"/>
  <c r="Z83" i="6"/>
  <c r="Z82" i="6"/>
  <c r="Z81" i="6"/>
  <c r="Z80" i="6"/>
  <c r="Z79" i="6"/>
  <c r="Z78" i="6"/>
  <c r="Z77" i="6"/>
  <c r="Z76" i="6"/>
  <c r="Z75" i="6"/>
  <c r="Z74" i="6"/>
  <c r="Z73" i="6"/>
  <c r="Z72" i="6"/>
  <c r="Y48" i="6"/>
  <c r="Z48" i="6"/>
  <c r="AA48" i="6"/>
  <c r="AB48" i="6"/>
  <c r="Y49" i="6"/>
  <c r="Z49" i="6"/>
  <c r="AA49" i="6"/>
  <c r="AB49" i="6"/>
  <c r="Y50" i="6"/>
  <c r="Z50" i="6"/>
  <c r="AA50" i="6"/>
  <c r="AB50" i="6"/>
  <c r="Y51" i="6"/>
  <c r="Z51" i="6"/>
  <c r="AA51" i="6"/>
  <c r="AB51" i="6"/>
  <c r="Y52" i="6"/>
  <c r="Z52" i="6"/>
  <c r="AA52" i="6"/>
  <c r="AB52" i="6"/>
  <c r="AN27" i="4"/>
  <c r="AO27" i="4"/>
  <c r="AP27" i="4"/>
  <c r="AQ27" i="4"/>
  <c r="AR27" i="4"/>
  <c r="AS27" i="4"/>
  <c r="AT27" i="4"/>
  <c r="AU27" i="4"/>
  <c r="AV27" i="4"/>
  <c r="AW27" i="4"/>
  <c r="AX27" i="4"/>
  <c r="AY27" i="4"/>
  <c r="AM27" i="4"/>
  <c r="AN26" i="4"/>
  <c r="AO26" i="4"/>
  <c r="AP26" i="4"/>
  <c r="AQ26" i="4"/>
  <c r="AR26" i="4"/>
  <c r="AS26" i="4"/>
  <c r="AT26" i="4"/>
  <c r="AU26" i="4"/>
  <c r="AV26" i="4"/>
  <c r="AW26" i="4"/>
  <c r="AX26" i="4"/>
  <c r="AY26" i="4"/>
  <c r="AM26" i="4"/>
  <c r="BC12" i="4"/>
  <c r="BB12" i="4"/>
  <c r="BA12" i="4"/>
  <c r="BD11" i="4"/>
  <c r="BC11" i="4"/>
  <c r="BB11" i="4"/>
  <c r="BA11" i="4"/>
  <c r="BC10" i="4"/>
  <c r="BB10" i="4"/>
  <c r="BA10" i="4"/>
  <c r="BC9" i="4"/>
  <c r="BB9" i="4"/>
  <c r="BA9" i="4"/>
  <c r="BD8" i="4"/>
  <c r="BC8" i="4"/>
  <c r="BB8" i="4"/>
  <c r="BA8" i="4"/>
  <c r="BD7" i="4"/>
  <c r="BC7" i="4"/>
  <c r="BB7" i="4"/>
  <c r="BA7" i="4"/>
  <c r="BD6" i="4"/>
  <c r="BC6" i="4"/>
  <c r="BB6" i="4"/>
  <c r="BA6" i="4"/>
  <c r="BD5" i="4"/>
  <c r="BC5" i="4"/>
  <c r="BB5" i="4"/>
  <c r="BA5" i="4"/>
  <c r="T144" i="4"/>
  <c r="T155" i="4" s="1"/>
  <c r="U144" i="4"/>
  <c r="U155" i="4" s="1"/>
  <c r="V144" i="4"/>
  <c r="V155" i="4" s="1"/>
  <c r="W144" i="4"/>
  <c r="W155" i="4" s="1"/>
  <c r="X144" i="4"/>
  <c r="X155" i="4" s="1"/>
  <c r="Y144" i="4"/>
  <c r="Y155" i="4" s="1"/>
  <c r="Z144" i="4"/>
  <c r="Z155" i="4" s="1"/>
  <c r="AA144" i="4"/>
  <c r="AA155" i="4" s="1"/>
  <c r="AB144" i="4"/>
  <c r="AB155" i="4" s="1"/>
  <c r="AC144" i="4"/>
  <c r="AC155" i="4" s="1"/>
  <c r="AD144" i="4"/>
  <c r="AD155" i="4" s="1"/>
  <c r="AE144" i="4"/>
  <c r="AE155" i="4" s="1"/>
  <c r="S144" i="4"/>
  <c r="S155" i="4" s="1"/>
  <c r="T141" i="4"/>
  <c r="U141" i="4"/>
  <c r="V141" i="4"/>
  <c r="W141" i="4"/>
  <c r="X141" i="4"/>
  <c r="Y141" i="4"/>
  <c r="Z141" i="4"/>
  <c r="AA141" i="4"/>
  <c r="AB141" i="4"/>
  <c r="AC141" i="4"/>
  <c r="AD141" i="4"/>
  <c r="AE141" i="4"/>
  <c r="S141" i="4"/>
  <c r="T140" i="4"/>
  <c r="U140" i="4"/>
  <c r="V140" i="4"/>
  <c r="W140" i="4"/>
  <c r="X140" i="4"/>
  <c r="Y140" i="4"/>
  <c r="Z140" i="4"/>
  <c r="AA140" i="4"/>
  <c r="AB140" i="4"/>
  <c r="AC140" i="4"/>
  <c r="AD140" i="4"/>
  <c r="AE140" i="4"/>
  <c r="S140" i="4"/>
  <c r="AB138" i="4"/>
  <c r="AA138" i="4"/>
  <c r="M21" i="8"/>
  <c r="AN16" i="4"/>
  <c r="AO16" i="4"/>
  <c r="AP16" i="4"/>
  <c r="AQ16" i="4"/>
  <c r="AR16" i="4"/>
  <c r="AS16" i="4"/>
  <c r="AT16" i="4"/>
  <c r="AU16" i="4"/>
  <c r="AV16" i="4"/>
  <c r="AW16" i="4"/>
  <c r="AX16" i="4"/>
  <c r="AY16" i="4"/>
  <c r="AM15" i="4"/>
  <c r="AM16" i="4" s="1"/>
  <c r="M24" i="4"/>
  <c r="AL8" i="4"/>
  <c r="AL7" i="4"/>
  <c r="AL5" i="4"/>
  <c r="M11" i="4"/>
  <c r="AL6" i="4" s="1"/>
  <c r="E4" i="4"/>
  <c r="C74" i="4"/>
  <c r="C63" i="4"/>
  <c r="C45" i="4"/>
  <c r="C40" i="4"/>
  <c r="AC59" i="6"/>
  <c r="AB59" i="6"/>
  <c r="AA59" i="6"/>
  <c r="AC58" i="6"/>
  <c r="AB58" i="6"/>
  <c r="AA58" i="6"/>
  <c r="AC57" i="6"/>
  <c r="AB57" i="6"/>
  <c r="AA57" i="6"/>
  <c r="AC56" i="6"/>
  <c r="AB56" i="6"/>
  <c r="AA56" i="6"/>
  <c r="AC55" i="6"/>
  <c r="AB55" i="6"/>
  <c r="AA55" i="6"/>
  <c r="AC54" i="6"/>
  <c r="AB54" i="6"/>
  <c r="AA54" i="6"/>
  <c r="AA53" i="6"/>
  <c r="AB53" i="6"/>
  <c r="AC53" i="6"/>
  <c r="AC52" i="6"/>
  <c r="AC60" i="6"/>
  <c r="AB60" i="6"/>
  <c r="AA60" i="6"/>
  <c r="AC61" i="6"/>
  <c r="AB61" i="6"/>
  <c r="C36" i="4"/>
  <c r="AA61" i="6"/>
  <c r="AC62" i="6"/>
  <c r="C35" i="4"/>
  <c r="AB62" i="6"/>
  <c r="AA62" i="6"/>
  <c r="AC63" i="6"/>
  <c r="AB63" i="6"/>
  <c r="AA63" i="6"/>
  <c r="AC64" i="6"/>
  <c r="AB64" i="6"/>
  <c r="AA64" i="6"/>
  <c r="AC65" i="6"/>
  <c r="AB65" i="6"/>
  <c r="AA65" i="6"/>
  <c r="Z65" i="6"/>
  <c r="Z64" i="6"/>
  <c r="Z63" i="6"/>
  <c r="Z62" i="6"/>
  <c r="Z61" i="6"/>
  <c r="Z60" i="6"/>
  <c r="Z59" i="6"/>
  <c r="Z58" i="6"/>
  <c r="Z57" i="6"/>
  <c r="Z56" i="6"/>
  <c r="Z55" i="6"/>
  <c r="Z54" i="6"/>
  <c r="Z53" i="6"/>
  <c r="Y65" i="6"/>
  <c r="AD65" i="6" s="1"/>
  <c r="Y64" i="6"/>
  <c r="AD64" i="6" s="1"/>
  <c r="Y63" i="6"/>
  <c r="AD63" i="6" s="1"/>
  <c r="Y62" i="6"/>
  <c r="AD62" i="6" s="1"/>
  <c r="Y61" i="6"/>
  <c r="AD61" i="6" s="1"/>
  <c r="Y60" i="6"/>
  <c r="AD60" i="6" s="1"/>
  <c r="Y59" i="6"/>
  <c r="Y58" i="6"/>
  <c r="Y57" i="6"/>
  <c r="Y56" i="6"/>
  <c r="Y55" i="6"/>
  <c r="Y54" i="6"/>
  <c r="Y53" i="6"/>
  <c r="AD53" i="6" s="1"/>
  <c r="AD52" i="6"/>
  <c r="AD54" i="6"/>
  <c r="AD55" i="6"/>
  <c r="AD56" i="6"/>
  <c r="AD57" i="6"/>
  <c r="AD58" i="6"/>
  <c r="AD59" i="6"/>
  <c r="AC51" i="6"/>
  <c r="AD51" i="6"/>
  <c r="AC48" i="6"/>
  <c r="AC49" i="6"/>
  <c r="AC50" i="6"/>
  <c r="AD48" i="6"/>
  <c r="AD49" i="6"/>
  <c r="AD50" i="6"/>
  <c r="U18" i="2"/>
  <c r="AH6" i="20"/>
  <c r="AI6" i="20"/>
  <c r="AJ6" i="20"/>
  <c r="AH7" i="20"/>
  <c r="AI7" i="20"/>
  <c r="AJ7" i="20"/>
  <c r="AK7" i="20"/>
  <c r="AH8" i="20"/>
  <c r="AI8" i="20"/>
  <c r="AJ8" i="20"/>
  <c r="AH9" i="20"/>
  <c r="AI9" i="20"/>
  <c r="AJ9" i="20"/>
  <c r="AH10" i="20"/>
  <c r="AI10" i="20"/>
  <c r="AJ10" i="20"/>
  <c r="AH13" i="20"/>
  <c r="AI13" i="20"/>
  <c r="AJ13" i="20"/>
  <c r="AH14" i="20"/>
  <c r="AI14" i="20"/>
  <c r="AJ14" i="20"/>
  <c r="AH15" i="20"/>
  <c r="AI15" i="20"/>
  <c r="AJ15" i="20"/>
  <c r="AH17" i="20"/>
  <c r="AI17" i="20"/>
  <c r="AJ17" i="20"/>
  <c r="AH18" i="20"/>
  <c r="AI18" i="20"/>
  <c r="AJ18" i="20"/>
  <c r="AH19" i="20"/>
  <c r="AI19" i="20"/>
  <c r="AJ19" i="20"/>
  <c r="AH20" i="20"/>
  <c r="AI20" i="20"/>
  <c r="AJ20" i="20"/>
  <c r="AH21" i="20"/>
  <c r="AI21" i="20"/>
  <c r="AJ21" i="20"/>
  <c r="AK21" i="20"/>
  <c r="AH22" i="20"/>
  <c r="AI22" i="20"/>
  <c r="AJ22" i="20"/>
  <c r="AK22" i="20"/>
  <c r="AH23" i="20"/>
  <c r="AI23" i="20"/>
  <c r="AJ23" i="20"/>
  <c r="AH24" i="20"/>
  <c r="AI24" i="20"/>
  <c r="AJ24" i="20"/>
  <c r="AK24" i="20"/>
  <c r="AH25" i="20"/>
  <c r="AI25" i="20"/>
  <c r="AJ25" i="20"/>
  <c r="AK25" i="20"/>
  <c r="AH27" i="20"/>
  <c r="AI27" i="20"/>
  <c r="AJ27" i="20"/>
  <c r="AK27" i="20"/>
  <c r="AH29" i="20"/>
  <c r="AI29" i="20"/>
  <c r="AJ29" i="20"/>
  <c r="AK29" i="20"/>
  <c r="AH30" i="20"/>
  <c r="AI30" i="20"/>
  <c r="AJ30" i="20"/>
  <c r="AK30" i="20"/>
  <c r="AK5" i="20"/>
  <c r="AJ5" i="20"/>
  <c r="AI5" i="20"/>
  <c r="AA9" i="2"/>
  <c r="AA10" i="2"/>
  <c r="AA12" i="2"/>
  <c r="AA14" i="2"/>
  <c r="AA15" i="2"/>
  <c r="AA16" i="2"/>
  <c r="AA8" i="2"/>
  <c r="AH5" i="20"/>
  <c r="Z9" i="2"/>
  <c r="Z10" i="2"/>
  <c r="Z12" i="2"/>
  <c r="Z14" i="2"/>
  <c r="Z15" i="2"/>
  <c r="Z16" i="2"/>
  <c r="Z18" i="2"/>
  <c r="Z8" i="2"/>
  <c r="Y9" i="2"/>
  <c r="Y10" i="2"/>
  <c r="Y12" i="2"/>
  <c r="Y14" i="2"/>
  <c r="Y15" i="2"/>
  <c r="Y16" i="2"/>
  <c r="Y18" i="2"/>
  <c r="Y8" i="2"/>
  <c r="X9" i="2"/>
  <c r="X10" i="2"/>
  <c r="X12" i="2"/>
  <c r="X14" i="2"/>
  <c r="X15" i="2"/>
  <c r="X16" i="2"/>
  <c r="X18" i="2"/>
  <c r="X8" i="2"/>
  <c r="W15" i="2"/>
  <c r="W10" i="2"/>
  <c r="W9" i="2"/>
  <c r="W12" i="2"/>
  <c r="W14" i="2"/>
  <c r="W16" i="2"/>
  <c r="W18" i="2"/>
  <c r="W8" i="2"/>
  <c r="V17" i="2"/>
  <c r="T17" i="2"/>
  <c r="U17" i="2"/>
  <c r="S17" i="2"/>
  <c r="R17" i="2"/>
  <c r="Q17" i="2"/>
  <c r="P17" i="2"/>
  <c r="AC21" i="20"/>
  <c r="F12" i="20"/>
  <c r="F7" i="20"/>
  <c r="F6" i="20"/>
  <c r="F11" i="20"/>
  <c r="F8" i="20"/>
  <c r="E7" i="5"/>
  <c r="AC23" i="5"/>
  <c r="AC25" i="5"/>
  <c r="AC27" i="5"/>
  <c r="AC29" i="5"/>
  <c r="AC30" i="5"/>
  <c r="AC22" i="5"/>
  <c r="Z22" i="5"/>
  <c r="AA22" i="5"/>
  <c r="AB22" i="5"/>
  <c r="Z23" i="5"/>
  <c r="AA23" i="5"/>
  <c r="AB23" i="5"/>
  <c r="Z24" i="5"/>
  <c r="AA24" i="5"/>
  <c r="AB24" i="5"/>
  <c r="Z25" i="5"/>
  <c r="AA25" i="5"/>
  <c r="AB25" i="5"/>
  <c r="Z27" i="5"/>
  <c r="AA27" i="5"/>
  <c r="AB27" i="5"/>
  <c r="Z29" i="5"/>
  <c r="AA29" i="5"/>
  <c r="AB29" i="5"/>
  <c r="Z30" i="5"/>
  <c r="AA30" i="5"/>
  <c r="AB30" i="5"/>
  <c r="E85" i="5"/>
  <c r="AC6" i="5"/>
  <c r="AC8" i="5"/>
  <c r="AC9" i="5"/>
  <c r="AC16" i="5"/>
  <c r="AC17" i="5"/>
  <c r="AC18" i="5"/>
  <c r="AA6" i="5"/>
  <c r="AB6" i="5"/>
  <c r="Z8" i="5"/>
  <c r="AA8" i="5"/>
  <c r="AB8" i="5"/>
  <c r="Z9" i="5"/>
  <c r="AA9" i="5"/>
  <c r="AB9" i="5"/>
  <c r="AA10" i="5"/>
  <c r="AB10" i="5"/>
  <c r="Z12" i="5"/>
  <c r="AA12" i="5"/>
  <c r="AB12" i="5"/>
  <c r="Z13" i="5"/>
  <c r="AA13" i="5"/>
  <c r="AB13" i="5"/>
  <c r="Z14" i="5"/>
  <c r="AA14" i="5"/>
  <c r="AB14" i="5"/>
  <c r="Z15" i="5"/>
  <c r="AA15" i="5"/>
  <c r="AB15" i="5"/>
  <c r="Z16" i="5"/>
  <c r="AA16" i="5"/>
  <c r="AB16" i="5"/>
  <c r="Z17" i="5"/>
  <c r="AA17" i="5"/>
  <c r="AB17" i="5"/>
  <c r="Z18" i="5"/>
  <c r="AA18" i="5"/>
  <c r="AB18" i="5"/>
  <c r="Z21" i="5"/>
  <c r="AA21" i="5"/>
  <c r="AB21" i="5"/>
  <c r="AC5" i="5"/>
  <c r="AB5" i="5"/>
  <c r="AA5" i="5"/>
  <c r="Z5" i="5"/>
  <c r="E28" i="5"/>
  <c r="E35" i="5"/>
  <c r="E31" i="5"/>
  <c r="E27" i="5"/>
  <c r="E32" i="5"/>
  <c r="D5" i="20"/>
  <c r="AC35" i="4"/>
  <c r="AA35" i="4"/>
  <c r="AE6" i="2"/>
  <c r="V11" i="2" s="1"/>
  <c r="H16" i="2"/>
  <c r="H17" i="2"/>
  <c r="H18" i="2"/>
  <c r="H15" i="2"/>
  <c r="H9" i="2"/>
  <c r="H10" i="2"/>
  <c r="H11" i="2"/>
  <c r="H12" i="2"/>
  <c r="H8" i="2"/>
  <c r="E50" i="15"/>
  <c r="I47" i="15"/>
  <c r="I48" i="15"/>
  <c r="I49" i="15"/>
  <c r="I50" i="15"/>
  <c r="J47" i="15"/>
  <c r="J48" i="15"/>
  <c r="K48" i="15" s="1"/>
  <c r="J49" i="15"/>
  <c r="J50" i="15"/>
  <c r="K47" i="15"/>
  <c r="K49" i="15"/>
  <c r="K50" i="15"/>
  <c r="E49" i="15"/>
  <c r="AE100" i="6" l="1"/>
  <c r="AA11" i="2"/>
  <c r="Z11" i="2"/>
  <c r="Y11" i="2"/>
  <c r="X11" i="2"/>
  <c r="W11" i="2"/>
  <c r="AA17" i="2"/>
  <c r="Z17" i="2"/>
  <c r="Y17" i="2"/>
  <c r="X17" i="2"/>
  <c r="W17" i="2"/>
  <c r="AE7"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tc={DFC291A1-5659-4560-833E-22103EE3DEB0}</author>
    <author>tc={75181A99-7654-4700-9F9F-5C05429FE533}</author>
    <author>tc={A7DD4811-49C7-4F93-8998-F4CB31848752}</author>
    <author>tc={7A73F350-7B9D-44C7-A02B-2BA773AB8FA0}</author>
    <author>tc={51D6A92B-924A-4744-B47C-3E5E4BD06BEF}</author>
  </authors>
  <commentList>
    <comment ref="J4" authorId="0" shapeId="0" xr:uid="{DFC291A1-5659-4560-833E-22103EE3DEB0}">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a cevada é cultivada para enriquecer o solo com nutrientes</t>
        </r>
      </text>
    </comment>
    <comment ref="V56" authorId="1" shapeId="0" xr:uid="{75181A99-7654-4700-9F9F-5C05429FE533}">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Diesel for transportation is included in total diesel consumption</t>
        </r>
      </text>
    </comment>
    <comment ref="Y56" authorId="2" shapeId="0" xr:uid="{A7DD4811-49C7-4F93-8998-F4CB31848752}">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Diesel for transportation is included in total diesel consumption</t>
        </r>
      </text>
    </comment>
    <comment ref="AC56" authorId="3" shapeId="0" xr:uid="{7A73F350-7B9D-44C7-A02B-2BA773AB8FA0}">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Include Diesel for Grape transportation</t>
        </r>
      </text>
    </comment>
    <comment ref="S58" authorId="4" shapeId="0" xr:uid="{51D6A92B-924A-4744-B47C-3E5E4BD06BEF}">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Valor médio: 2011 = 5.85 e 2012 = 6.5</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tc={07517B4B-3023-48A7-9C47-9E7B1A4D07D7}</author>
  </authors>
  <commentList>
    <comment ref="AC21" authorId="0" shapeId="0" xr:uid="{07517B4B-3023-48A7-9C47-9E7B1A4D07D7}">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Acho que não se pode somar!!!!</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tc={D594D6A5-A04E-4B53-9E84-389FBBB9B134}</author>
    <author>tc={21089C0B-4168-4166-8B89-5AEE55953586}</author>
  </authors>
  <commentList>
    <comment ref="B44" authorId="0" shapeId="0" xr:uid="{D594D6A5-A04E-4B53-9E84-389FBBB9B134}">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Número calculado com base nos dados registrados da caldeira de casca da fábrica, forno de recuperação e forno de cal.</t>
        </r>
      </text>
    </comment>
    <comment ref="B49" authorId="1" shapeId="0" xr:uid="{21089C0B-4168-4166-8B89-5AEE55953586}">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Número calculado subtraindo o vapor total gerado com a quantidade interna usada.</t>
        </r>
      </text>
    </comment>
  </commentList>
</comments>
</file>

<file path=xl/sharedStrings.xml><?xml version="1.0" encoding="utf-8"?>
<sst xmlns="http://schemas.openxmlformats.org/spreadsheetml/2006/main" count="3598" uniqueCount="1659">
  <si>
    <t>Escala Piloto</t>
  </si>
  <si>
    <t>com base no nº de empresas</t>
  </si>
  <si>
    <t>SECTOR ECONÓMICO</t>
  </si>
  <si>
    <t>SUB-SECTOR</t>
  </si>
  <si>
    <t>Activade Económica</t>
  </si>
  <si>
    <t>PRODUTOS</t>
  </si>
  <si>
    <t>Primário</t>
  </si>
  <si>
    <t>Agricultura/ produção animal/Caça /Floresta/ Pesca</t>
  </si>
  <si>
    <t>Cultura de citrinos</t>
  </si>
  <si>
    <t>Citrinos</t>
  </si>
  <si>
    <t>X</t>
  </si>
  <si>
    <t>Suinicultura</t>
  </si>
  <si>
    <t>Porcos</t>
  </si>
  <si>
    <t>x</t>
  </si>
  <si>
    <t>Avicultura</t>
  </si>
  <si>
    <t>Frangos</t>
  </si>
  <si>
    <t>Ovos</t>
  </si>
  <si>
    <t>Agricultura/Cultura Arroz</t>
  </si>
  <si>
    <t>Arroz</t>
  </si>
  <si>
    <t>Silvicultura e Exploração Florestal</t>
  </si>
  <si>
    <t>Secundário</t>
  </si>
  <si>
    <t>Industria Transformadora</t>
  </si>
  <si>
    <t>Industria Leite e Derivados</t>
  </si>
  <si>
    <t>Queijo</t>
  </si>
  <si>
    <t>Produção azeite</t>
  </si>
  <si>
    <t>Azeite</t>
  </si>
  <si>
    <t>Produção de Vinhos</t>
  </si>
  <si>
    <t>Vinho Consumo Branco</t>
  </si>
  <si>
    <t>Vinho Consumo Tinto</t>
  </si>
  <si>
    <t>Produção de Vinho Espumantes</t>
  </si>
  <si>
    <t>Espumante</t>
  </si>
  <si>
    <t>Fabricação Pasta de papel</t>
  </si>
  <si>
    <t>pasta de papel</t>
  </si>
  <si>
    <t>Fabricação papel e cartão</t>
  </si>
  <si>
    <t>papel</t>
  </si>
  <si>
    <t>?</t>
  </si>
  <si>
    <t>cartão</t>
  </si>
  <si>
    <t>Confecção de outro vestuário exterior em série</t>
  </si>
  <si>
    <t>vestuário</t>
  </si>
  <si>
    <t>Produção</t>
  </si>
  <si>
    <t>Distribuição de Electricidade, Gás e Água</t>
  </si>
  <si>
    <t>Construção</t>
  </si>
  <si>
    <t>Contrução de Edificios</t>
  </si>
  <si>
    <t>Edificios</t>
  </si>
  <si>
    <t>Terciário</t>
  </si>
  <si>
    <t>comércio por grosso/a retalho</t>
  </si>
  <si>
    <t>alojamento</t>
  </si>
  <si>
    <t xml:space="preserve"> restauração</t>
  </si>
  <si>
    <t>Como se faz uma LCA a negócios de serviços?</t>
  </si>
  <si>
    <t>BM-LCA (Bockin, 2022)</t>
  </si>
  <si>
    <t>Como analisar impactos relacionados com modelos de negócios?</t>
  </si>
  <si>
    <t>UF= Frango vivo produzido</t>
  </si>
  <si>
    <t>UF=1.2 kg of broiler chicken meat ready to be distributed to the point of sale. 1,7 kg of chicken to the slaughterhouse.</t>
  </si>
  <si>
    <t>Fronteira Geográfica: Portugal</t>
  </si>
  <si>
    <t>Inputs</t>
  </si>
  <si>
    <t>Unidades</t>
  </si>
  <si>
    <t xml:space="preserve">Inputs </t>
  </si>
  <si>
    <t>Material de cama</t>
  </si>
  <si>
    <t>kg</t>
  </si>
  <si>
    <t>Material da cama</t>
  </si>
  <si>
    <t>Serrim</t>
  </si>
  <si>
    <t>Casca</t>
  </si>
  <si>
    <t>Bark</t>
  </si>
  <si>
    <t>Fitas</t>
  </si>
  <si>
    <t>Shavings</t>
  </si>
  <si>
    <t>Estilha</t>
  </si>
  <si>
    <t>Wood Chips</t>
  </si>
  <si>
    <t>m3</t>
  </si>
  <si>
    <t>Bagaço de Azeitona</t>
  </si>
  <si>
    <t>Água</t>
  </si>
  <si>
    <t>L</t>
  </si>
  <si>
    <t>Ração</t>
  </si>
  <si>
    <t>Abeberamento Aves</t>
  </si>
  <si>
    <t>Energia</t>
  </si>
  <si>
    <t>Lavagem dos pavilhões</t>
  </si>
  <si>
    <t>Eletricidade</t>
  </si>
  <si>
    <t>kWh</t>
  </si>
  <si>
    <t>Desinfectantes</t>
  </si>
  <si>
    <t>n.º</t>
  </si>
  <si>
    <t>Biomassa (wood chips)</t>
  </si>
  <si>
    <t xml:space="preserve">Ração </t>
  </si>
  <si>
    <t>Diesel</t>
  </si>
  <si>
    <t>mg</t>
  </si>
  <si>
    <t>Outputs</t>
  </si>
  <si>
    <t>Energia elétrica</t>
  </si>
  <si>
    <t>Frango para abate</t>
  </si>
  <si>
    <t>Gasóleo</t>
  </si>
  <si>
    <t>Resíduos Urbanos</t>
  </si>
  <si>
    <t>g</t>
  </si>
  <si>
    <t>Biomassa</t>
  </si>
  <si>
    <t>Metais</t>
  </si>
  <si>
    <t>Vacinas/Antibióticos</t>
  </si>
  <si>
    <t>Carcaça</t>
  </si>
  <si>
    <t>Emissões para a atmosfera</t>
  </si>
  <si>
    <t>Frango Vivo</t>
  </si>
  <si>
    <t>NH3</t>
  </si>
  <si>
    <t>Resíduos Sólidos</t>
  </si>
  <si>
    <t>CO2</t>
  </si>
  <si>
    <t>Estrume</t>
  </si>
  <si>
    <t>CH4</t>
  </si>
  <si>
    <t>Cadáveres</t>
  </si>
  <si>
    <t>N2O</t>
  </si>
  <si>
    <t>Mistura de resíduos urbanos e equiparados</t>
  </si>
  <si>
    <t>SO2</t>
  </si>
  <si>
    <t>Metal</t>
  </si>
  <si>
    <t xml:space="preserve">CO </t>
  </si>
  <si>
    <t>Água Residual</t>
  </si>
  <si>
    <t>NOx</t>
  </si>
  <si>
    <t>Emissões para a água</t>
  </si>
  <si>
    <t>NO3-</t>
  </si>
  <si>
    <t>NH4</t>
  </si>
  <si>
    <t>PO4-3</t>
  </si>
  <si>
    <t>CO2 fóssil</t>
  </si>
  <si>
    <t>1,2 kg is the average weight of a broiler chicken (excluding packaging) available for consumption in Portuguese markets</t>
  </si>
  <si>
    <t>https://www.researchgate.net/publication/262568974_Life_Cycle_Assessment_of_broiler_chicken_production_A_Portuguese_case_study</t>
  </si>
  <si>
    <t>NO2</t>
  </si>
  <si>
    <t>P</t>
  </si>
  <si>
    <t>NO3</t>
  </si>
  <si>
    <t>https://ria.ua.pt/bitstream/10773/8476/1/248283.pdf</t>
  </si>
  <si>
    <t>Abín et al (2018)</t>
  </si>
  <si>
    <t>Pelletier (2017)</t>
  </si>
  <si>
    <t>UF= 13 344 000 Ovos (produção anual 2015)</t>
  </si>
  <si>
    <t>UF= 1 tonelada de ovos = 16683 ovos</t>
  </si>
  <si>
    <t>Fronteira Geográfica: Espanha</t>
  </si>
  <si>
    <t>Fronteira Geográfica: Canadá</t>
  </si>
  <si>
    <t>Por tonelada de ovo</t>
  </si>
  <si>
    <t>Input</t>
  </si>
  <si>
    <t>Convencional Cage</t>
  </si>
  <si>
    <t>Enriched Cage</t>
  </si>
  <si>
    <t>Free Run</t>
  </si>
  <si>
    <t>Free Range</t>
  </si>
  <si>
    <t>Organic</t>
  </si>
  <si>
    <t>Média</t>
  </si>
  <si>
    <t>1. Novas galinhas poedeiras</t>
  </si>
  <si>
    <t>un.</t>
  </si>
  <si>
    <t>Galinhas</t>
  </si>
  <si>
    <t>Galinhas poedeiras</t>
  </si>
  <si>
    <t>2. Água</t>
  </si>
  <si>
    <t xml:space="preserve">    Massa/Galinha</t>
  </si>
  <si>
    <t>3. Eletricidade</t>
  </si>
  <si>
    <t xml:space="preserve">    Transporte </t>
  </si>
  <si>
    <t>t-km</t>
  </si>
  <si>
    <t>4. Produtos de limpeza (lixívia)</t>
  </si>
  <si>
    <t>t</t>
  </si>
  <si>
    <t>ton</t>
  </si>
  <si>
    <t>5. Forragem</t>
  </si>
  <si>
    <t xml:space="preserve">    Transporte</t>
  </si>
  <si>
    <t>a. Milho (50%)</t>
  </si>
  <si>
    <t>b. Feijão de soja (31%)</t>
  </si>
  <si>
    <t>c. Óleo de palma (11%)</t>
  </si>
  <si>
    <t xml:space="preserve">    Eletricidade</t>
  </si>
  <si>
    <t>d. Bicarbonato de sódio (8%)</t>
  </si>
  <si>
    <t xml:space="preserve">    Diesel</t>
  </si>
  <si>
    <t>l</t>
  </si>
  <si>
    <t>6. Material Embalagem</t>
  </si>
  <si>
    <t xml:space="preserve">    Gasolina</t>
  </si>
  <si>
    <t>a. Cartão reciclado</t>
  </si>
  <si>
    <t xml:space="preserve">    Fuel Oil</t>
  </si>
  <si>
    <t xml:space="preserve">l </t>
  </si>
  <si>
    <t>-</t>
  </si>
  <si>
    <t xml:space="preserve">b. Cartão </t>
  </si>
  <si>
    <t xml:space="preserve">    GPL</t>
  </si>
  <si>
    <t>7. Transporte</t>
  </si>
  <si>
    <t xml:space="preserve">    Gás Natural</t>
  </si>
  <si>
    <t xml:space="preserve">a. Camião </t>
  </si>
  <si>
    <t>(tkm)</t>
  </si>
  <si>
    <t>Output</t>
  </si>
  <si>
    <t>b. Diesel</t>
  </si>
  <si>
    <t xml:space="preserve">    Massa por ovo</t>
  </si>
  <si>
    <t>1. Ovos</t>
  </si>
  <si>
    <t>Galinhas esgotadas</t>
  </si>
  <si>
    <t>2. Galinhas poedeiras esgotadas para abate</t>
  </si>
  <si>
    <t>3. Resíduos</t>
  </si>
  <si>
    <t>a. Água Residual (para tratamento)</t>
  </si>
  <si>
    <t xml:space="preserve">    Transporte Camião</t>
  </si>
  <si>
    <t>b. Cartão (para reciclar)</t>
  </si>
  <si>
    <t xml:space="preserve">    Transporte Tractor</t>
  </si>
  <si>
    <t>c. Estrume (para fertilizar)</t>
  </si>
  <si>
    <t xml:space="preserve">    Residência no celeiro</t>
  </si>
  <si>
    <t>semanas</t>
  </si>
  <si>
    <t>d. Resíduos urbanos (para aterro)</t>
  </si>
  <si>
    <t xml:space="preserve">    Residência armazenado</t>
  </si>
  <si>
    <t>e. Galinhas poedeiras mortas (Resíduo perigoso sujeito a incineração)</t>
  </si>
  <si>
    <t xml:space="preserve">    Azoto Escretado</t>
  </si>
  <si>
    <t>4. Emissões para o ar</t>
  </si>
  <si>
    <t xml:space="preserve">    Fósforo Excretado</t>
  </si>
  <si>
    <t>a. CH4</t>
  </si>
  <si>
    <t>Taxa de mortalidade</t>
  </si>
  <si>
    <t>%</t>
  </si>
  <si>
    <t>b. N2O-N</t>
  </si>
  <si>
    <t xml:space="preserve">    Massa de mortalidade</t>
  </si>
  <si>
    <t>c. NH3-N</t>
  </si>
  <si>
    <t xml:space="preserve">    Transporte por Camião</t>
  </si>
  <si>
    <t xml:space="preserve">    Transporte por tractor</t>
  </si>
  <si>
    <t>https://reader.elsevier.com/reader/sd/pii/S0959652618300751?token=5594046DD6E454A7D635A10F03B8C17F2CF70D37D73BEE4952C68D7D259A7D072468FBCAE4E3CCF3CFB871318A54FC7B&amp;originRegion=eu-west-1&amp;originCreation=20230509135605</t>
  </si>
  <si>
    <t>https://reader.elsevier.com/reader/sd/pii/S0959652617304857?token=F243B48380D62DEBA47C2BCAAAFDDD9897967DFBD95E14BAD79DC0D328E3FA910521E725EFCCD965CDC79651951331D3&amp;originRegion=eu-west-1&amp;originCreation=20230510085611</t>
  </si>
  <si>
    <t>layer facilities may employ one of several</t>
  </si>
  <si>
    <t>housing systems, including conventional cage systems, enriched</t>
  </si>
  <si>
    <t>cage systems, free run systems, free range systems, and organic</t>
  </si>
  <si>
    <t>systems. The majority (roughly 92% in 2012) of layers in Canada are</t>
  </si>
  <si>
    <t>housed in conventional cage production systems. Concerns</t>
  </si>
  <si>
    <t>regarding the welfare of laying hens raised in conventional cage</t>
  </si>
  <si>
    <t>systems have stimulated the development of enriched cages. These</t>
  </si>
  <si>
    <t>cages are intended to allow hens to perform natural behaviors such</t>
  </si>
  <si>
    <t>as nesting, roosting, and scratching. Enriched housing is currently</t>
  </si>
  <si>
    <t>provided to a small minority (1.7%) of Canadian layer hens. In free</t>
  </si>
  <si>
    <t>run production systems, which accounted for roughly 3.5% of Ca-</t>
  </si>
  <si>
    <t>nadian layers in 2012, hens have access to a barn floor where they</t>
  </si>
  <si>
    <t>may move freely. Free range systems (0.8% of layers in Canada)</t>
  </si>
  <si>
    <t>provide hens with access to an outdoor area. Layers housed in</t>
  </si>
  <si>
    <t>organic systems (1.6% of Canadian layers) are reared according to</t>
  </si>
  <si>
    <t xml:space="preserve">third-party certified standards for organic production. </t>
  </si>
  <si>
    <t>Figueiredo et al. (2013)</t>
  </si>
  <si>
    <t>Cichoń, Emilia (2018)</t>
  </si>
  <si>
    <t>UF=  1L azeite</t>
  </si>
  <si>
    <t xml:space="preserve">
</t>
  </si>
  <si>
    <t>Inventário | Extração de Azeite</t>
  </si>
  <si>
    <t>Considerandos:</t>
  </si>
  <si>
    <t>Extração em três fases (M1)</t>
  </si>
  <si>
    <t>Extração em duas fases</t>
  </si>
  <si>
    <t>Prensagem tradicional M6</t>
  </si>
  <si>
    <t>Valores Médios</t>
  </si>
  <si>
    <t>n</t>
  </si>
  <si>
    <t>Min</t>
  </si>
  <si>
    <t>Máx</t>
  </si>
  <si>
    <t>Valor Médio</t>
  </si>
  <si>
    <t>Desvio Padrão</t>
  </si>
  <si>
    <t>Massa Volúmica Diesel = 0,835 kg/L</t>
  </si>
  <si>
    <t>M2</t>
  </si>
  <si>
    <t>M3</t>
  </si>
  <si>
    <t>M4</t>
  </si>
  <si>
    <t>M5</t>
  </si>
  <si>
    <t>Bagaço Húmido = Bagaço+Águas Ruças</t>
  </si>
  <si>
    <t>Azeitona</t>
  </si>
  <si>
    <t>Densidade Águas Ruças ≈ Densidade Água</t>
  </si>
  <si>
    <t>Propano</t>
  </si>
  <si>
    <t xml:space="preserve">Água </t>
  </si>
  <si>
    <t>Bagaço húmido</t>
  </si>
  <si>
    <t>Folhas</t>
  </si>
  <si>
    <t>Caroço</t>
  </si>
  <si>
    <t>Bagaço</t>
  </si>
  <si>
    <t>Águas ruças</t>
  </si>
  <si>
    <t>Bagaço Húmido</t>
  </si>
  <si>
    <t>UF= 1 kg queijo ovelha</t>
  </si>
  <si>
    <t>UF= 1kg queijo de vaca curado</t>
  </si>
  <si>
    <t>Cradle to Grave</t>
  </si>
  <si>
    <t>Cradle to Gate</t>
  </si>
  <si>
    <t>Valor</t>
  </si>
  <si>
    <t>Inputs de Materiais</t>
  </si>
  <si>
    <t>Leite de ovelha</t>
  </si>
  <si>
    <t>Leite de vaca</t>
  </si>
  <si>
    <t>Sal</t>
  </si>
  <si>
    <t>Leite em pó</t>
  </si>
  <si>
    <t>Hipoclorito de Sódio</t>
  </si>
  <si>
    <t>mL</t>
  </si>
  <si>
    <t>Ácido Nítrico</t>
  </si>
  <si>
    <t xml:space="preserve">Ácido Nítrico </t>
  </si>
  <si>
    <t>Hidróxido de Sódio</t>
  </si>
  <si>
    <t xml:space="preserve">Cartão </t>
  </si>
  <si>
    <t>HDPE</t>
  </si>
  <si>
    <t>Cartão/Etiquetas</t>
  </si>
  <si>
    <t>Fuel Oil</t>
  </si>
  <si>
    <t>Electricity</t>
  </si>
  <si>
    <t>Queijo de ovelha</t>
  </si>
  <si>
    <t>Transport</t>
  </si>
  <si>
    <t>kg km</t>
  </si>
  <si>
    <t>Outputs para o ambiente</t>
  </si>
  <si>
    <t>Produtos</t>
  </si>
  <si>
    <t>CO2 (Combustion)</t>
  </si>
  <si>
    <t>Queijo curado</t>
  </si>
  <si>
    <t>CH4 (Combustion)</t>
  </si>
  <si>
    <t>Whey em pó</t>
  </si>
  <si>
    <t>N2O (Combustion)</t>
  </si>
  <si>
    <t>Resíduos</t>
  </si>
  <si>
    <t>NOx(Combustion)</t>
  </si>
  <si>
    <t>Cartão para reciclagem</t>
  </si>
  <si>
    <t>CO (Combustion)</t>
  </si>
  <si>
    <t>Plásticos para reciclagem</t>
  </si>
  <si>
    <t>NMVOCs (Combustion)</t>
  </si>
  <si>
    <t>Cartão para incineração</t>
  </si>
  <si>
    <t>SOx (Combustion)</t>
  </si>
  <si>
    <t>Plásticos para incineração</t>
  </si>
  <si>
    <t>https://www.mdpi.com/2227-9717/8/9/1182</t>
  </si>
  <si>
    <t>Lamas para incineração</t>
  </si>
  <si>
    <t>Resíduos para compostagem</t>
  </si>
  <si>
    <t>Cartão para aterro</t>
  </si>
  <si>
    <t>Plásticos para aterro</t>
  </si>
  <si>
    <t>Emissões para o ar</t>
  </si>
  <si>
    <t>Monóxido de Carbono</t>
  </si>
  <si>
    <t>Óxidos de azoto</t>
  </si>
  <si>
    <t>Partículas</t>
  </si>
  <si>
    <t>Dióxido de enxofre</t>
  </si>
  <si>
    <t>Substâncias orgânicas</t>
  </si>
  <si>
    <t>Carência Química de Oxigénio</t>
  </si>
  <si>
    <t>Sólidos Suspensos</t>
  </si>
  <si>
    <t>Azoto total</t>
  </si>
  <si>
    <t>Fósforo</t>
  </si>
  <si>
    <t>Nitrato</t>
  </si>
  <si>
    <t>Óleos</t>
  </si>
  <si>
    <t>https://reader.elsevier.com/reader/sd/pii/S0959652612005422?token=184C5CFA1FF888C2694F8CAF5BE17A1C89927722C6539E689A450763A202ADA26130348F9E6AFA0FADC93BB3CE1DEEA5&amp;originRegion=eu-west-1&amp;originCreation=20230508112206</t>
  </si>
  <si>
    <t>(Neto, 2013)</t>
  </si>
  <si>
    <t>UF= 0,75 L de vinho</t>
  </si>
  <si>
    <t>Catalonia, Sapin</t>
  </si>
  <si>
    <t>(Meneses, 2016)</t>
  </si>
  <si>
    <t>(Filipa, 2015)</t>
  </si>
  <si>
    <t>Por ha de Terra</t>
  </si>
  <si>
    <t>Produção em 2011 e 2012</t>
  </si>
  <si>
    <t>Inventário Viticultura</t>
  </si>
  <si>
    <t>Vinho Verde</t>
  </si>
  <si>
    <t xml:space="preserve">DOI 10.1007/s11367-012-0518-4
</t>
  </si>
  <si>
    <t>Vinho Tinto (Espanha)</t>
  </si>
  <si>
    <t>dx.doi.org/10.1016/j.scitotenv.2016.04.083</t>
  </si>
  <si>
    <t>http://www2.dem.uc.pt/CenterIndustrialEcology/projects/Outputs%20Ecodeep/publicacoes/artigos%20conferecias/Figueiredo%20et%20al_LCA_wine_efs2015_final.pdf</t>
  </si>
  <si>
    <t>Produção de uvas</t>
  </si>
  <si>
    <t>UF = 0,75L de vinho</t>
  </si>
  <si>
    <r>
      <rPr>
        <sz val="11"/>
        <color rgb="FF000000"/>
        <rFont val="Calibri"/>
        <scheme val="minor"/>
      </rPr>
      <t xml:space="preserve">Considerando que para fazer </t>
    </r>
    <r>
      <rPr>
        <b/>
        <sz val="11"/>
        <color rgb="FF000000"/>
        <rFont val="Calibri"/>
        <scheme val="minor"/>
      </rPr>
      <t>0,75L vinho</t>
    </r>
    <r>
      <rPr>
        <sz val="11"/>
        <color rgb="FF000000"/>
        <rFont val="Calibri"/>
        <scheme val="minor"/>
      </rPr>
      <t xml:space="preserve"> são necessários </t>
    </r>
    <r>
      <rPr>
        <b/>
        <sz val="11"/>
        <color rgb="FF000000"/>
        <rFont val="Calibri"/>
        <scheme val="minor"/>
      </rPr>
      <t>1,125Kg de uvas</t>
    </r>
    <r>
      <rPr>
        <sz val="11"/>
        <color rgb="FF000000"/>
        <rFont val="Calibri"/>
        <scheme val="minor"/>
      </rPr>
      <t>.</t>
    </r>
  </si>
  <si>
    <t>Viticultura</t>
  </si>
  <si>
    <t>Produção Vinho</t>
  </si>
  <si>
    <t>Wine Production Inputs</t>
  </si>
  <si>
    <t>Value</t>
  </si>
  <si>
    <t>Grapes Production</t>
  </si>
  <si>
    <r>
      <rPr>
        <sz val="11"/>
        <color rgb="FF000000"/>
        <rFont val="Calibri"/>
      </rPr>
      <t xml:space="preserve">(Filipa, 2015) </t>
    </r>
    <r>
      <rPr>
        <b/>
        <sz val="11"/>
        <color rgb="FF00B050"/>
        <rFont val="Calibri"/>
      </rPr>
      <t>Valores para 0,75L vinho</t>
    </r>
  </si>
  <si>
    <t>Water</t>
  </si>
  <si>
    <t xml:space="preserve">7,26E-04 </t>
  </si>
  <si>
    <t>Plantação</t>
  </si>
  <si>
    <t>Grãos de cevada !?</t>
  </si>
  <si>
    <t>Produtor</t>
  </si>
  <si>
    <t>BA</t>
  </si>
  <si>
    <t>BB</t>
  </si>
  <si>
    <t>BC</t>
  </si>
  <si>
    <t>BD</t>
  </si>
  <si>
    <t>DA</t>
  </si>
  <si>
    <t>DB</t>
  </si>
  <si>
    <t>CA</t>
  </si>
  <si>
    <t>CB</t>
  </si>
  <si>
    <t>EA</t>
  </si>
  <si>
    <t>EB</t>
  </si>
  <si>
    <t>FA</t>
  </si>
  <si>
    <t>Viticulture</t>
  </si>
  <si>
    <t>Vinha Verde-Pt</t>
  </si>
  <si>
    <t>Vinha Tinta-Sp</t>
  </si>
  <si>
    <t>EA (2011)</t>
  </si>
  <si>
    <t>EA (2012)</t>
  </si>
  <si>
    <t>EB (2011)</t>
  </si>
  <si>
    <t>EB (2012)</t>
  </si>
  <si>
    <t>mín</t>
  </si>
  <si>
    <t>máx</t>
  </si>
  <si>
    <t>média</t>
  </si>
  <si>
    <t>desv.Pad</t>
  </si>
  <si>
    <t>Land occupation</t>
  </si>
  <si>
    <t>1,08E-04</t>
  </si>
  <si>
    <t>ha</t>
  </si>
  <si>
    <t>Área</t>
  </si>
  <si>
    <t>Àgua</t>
  </si>
  <si>
    <t>2,59E-01</t>
  </si>
  <si>
    <t>Aço</t>
  </si>
  <si>
    <t>Ano</t>
  </si>
  <si>
    <t>2011+2012</t>
  </si>
  <si>
    <t>Terra/Plantação</t>
  </si>
  <si>
    <t>Diesel (agricultural machinery)</t>
  </si>
  <si>
    <t>2,34E-01</t>
  </si>
  <si>
    <t>Kg</t>
  </si>
  <si>
    <t>Diesel, tactor</t>
  </si>
  <si>
    <t>Fertilizantes (total)</t>
  </si>
  <si>
    <t xml:space="preserve">Phytosanitary products: </t>
  </si>
  <si>
    <t>Fertilizantes químicos</t>
  </si>
  <si>
    <t>N</t>
  </si>
  <si>
    <t>Pesticidas (Total)</t>
  </si>
  <si>
    <t>Dithiocarbamate compounds:</t>
  </si>
  <si>
    <t>Fertilizante orgânico</t>
  </si>
  <si>
    <t xml:space="preserve">Solid manure </t>
  </si>
  <si>
    <t>Metiram</t>
  </si>
  <si>
    <t>1,03E-03</t>
  </si>
  <si>
    <t>Transporte, camião</t>
  </si>
  <si>
    <t>tkm</t>
  </si>
  <si>
    <t>K</t>
  </si>
  <si>
    <t>Electricidade</t>
  </si>
  <si>
    <t>Thiocarbamate compounds:</t>
  </si>
  <si>
    <t>Terra</t>
  </si>
  <si>
    <t>2,27</t>
  </si>
  <si>
    <t>m2.ano !?</t>
  </si>
  <si>
    <t>ha.ano</t>
  </si>
  <si>
    <t xml:space="preserve">Fito algae </t>
  </si>
  <si>
    <t xml:space="preserve">Cymoxanil </t>
  </si>
  <si>
    <t>1,51E-04</t>
  </si>
  <si>
    <t>Lavoura</t>
  </si>
  <si>
    <t>Arado</t>
  </si>
  <si>
    <t>Nitrato de Cálcio (Ca(NO3)2)</t>
  </si>
  <si>
    <t>Transport of grapes</t>
  </si>
  <si>
    <t>1,86E-02</t>
  </si>
  <si>
    <t>t.km</t>
  </si>
  <si>
    <t>Iprovalicarb</t>
  </si>
  <si>
    <t>2,14E-04</t>
  </si>
  <si>
    <t>Rega</t>
  </si>
  <si>
    <t>CaMg(CO3)2</t>
  </si>
  <si>
    <t>Transport of wine and must</t>
  </si>
  <si>
    <t>1,09E-02</t>
  </si>
  <si>
    <t xml:space="preserve">Acetamide-aniline compounds: </t>
  </si>
  <si>
    <t>Fertilização</t>
  </si>
  <si>
    <t>CaCO3</t>
  </si>
  <si>
    <t>Phenexamid</t>
  </si>
  <si>
    <t>9,4E-04</t>
  </si>
  <si>
    <t>B (boro)</t>
  </si>
  <si>
    <t>Produtividade (t por ha)</t>
  </si>
  <si>
    <t>Cyclic–N compounds:</t>
  </si>
  <si>
    <t>Mg (Magnésio)</t>
  </si>
  <si>
    <t>Grapes</t>
  </si>
  <si>
    <t>Tebuconazol</t>
  </si>
  <si>
    <t>1,25E-04</t>
  </si>
  <si>
    <t>Pesticidas</t>
  </si>
  <si>
    <t>Enxofre</t>
  </si>
  <si>
    <t>Óxido de magnésio (MgO)</t>
  </si>
  <si>
    <t>Resíduos/emissões</t>
  </si>
  <si>
    <t>Penconazole</t>
  </si>
  <si>
    <t>4,40E-03</t>
  </si>
  <si>
    <t>Copper oxychloride</t>
  </si>
  <si>
    <t>Fertilizantes Orgânicos</t>
  </si>
  <si>
    <r>
      <rPr>
        <b/>
        <sz val="11"/>
        <color rgb="FF000000"/>
        <rFont val="Calibri"/>
        <scheme val="minor"/>
      </rPr>
      <t xml:space="preserve">Emissions to air </t>
    </r>
    <r>
      <rPr>
        <b/>
        <sz val="11"/>
        <color rgb="FFC65911"/>
        <rFont val="Calibri"/>
        <scheme val="minor"/>
      </rPr>
      <t>(due to fertilisers use</t>
    </r>
    <r>
      <rPr>
        <b/>
        <sz val="11"/>
        <color rgb="FF000000"/>
        <rFont val="Calibri"/>
        <scheme val="minor"/>
      </rPr>
      <t>):</t>
    </r>
  </si>
  <si>
    <t>Phtalamide compounds:</t>
  </si>
  <si>
    <t>aplicação</t>
  </si>
  <si>
    <r>
      <rPr>
        <b/>
        <sz val="11"/>
        <color rgb="FF000000"/>
        <rFont val="Calibri"/>
        <scheme val="minor"/>
      </rPr>
      <t>Emissions to air (</t>
    </r>
    <r>
      <rPr>
        <b/>
        <sz val="11"/>
        <color rgb="FF7030A0"/>
        <rFont val="Calibri"/>
        <scheme val="minor"/>
      </rPr>
      <t>due to phytosanitary products</t>
    </r>
    <r>
      <rPr>
        <b/>
        <sz val="11"/>
        <color rgb="FF000000"/>
        <rFont val="Calibri"/>
        <scheme val="minor"/>
      </rPr>
      <t xml:space="preserve">): </t>
    </r>
  </si>
  <si>
    <t>Folpet</t>
  </si>
  <si>
    <t>5,97E-03</t>
  </si>
  <si>
    <t>àgua</t>
  </si>
  <si>
    <t>Emissions to air ( from diesel combustion):</t>
  </si>
  <si>
    <t>Organophosphorus compounds:</t>
  </si>
  <si>
    <t>Estrume de aves</t>
  </si>
  <si>
    <r>
      <rPr>
        <b/>
        <sz val="11"/>
        <color rgb="FF000000"/>
        <rFont val="Calibri"/>
        <scheme val="minor"/>
      </rPr>
      <t>Emissions to water (</t>
    </r>
    <r>
      <rPr>
        <b/>
        <sz val="11"/>
        <color rgb="FFC65911"/>
        <rFont val="Calibri"/>
        <scheme val="minor"/>
      </rPr>
      <t>due to fertilisers</t>
    </r>
    <r>
      <rPr>
        <b/>
        <sz val="11"/>
        <color rgb="FF000000"/>
        <rFont val="Calibri"/>
        <scheme val="minor"/>
      </rPr>
      <t>):</t>
    </r>
  </si>
  <si>
    <t>5,76E-02</t>
  </si>
  <si>
    <t xml:space="preserve">Fosetyl-Al </t>
  </si>
  <si>
    <t>7,54E-03</t>
  </si>
  <si>
    <t>Poda</t>
  </si>
  <si>
    <t>Azoxystrobin</t>
  </si>
  <si>
    <r>
      <rPr>
        <b/>
        <sz val="11"/>
        <color rgb="FF000000"/>
        <rFont val="Calibri"/>
        <scheme val="minor"/>
      </rPr>
      <t>Emissions to soil (</t>
    </r>
    <r>
      <rPr>
        <b/>
        <sz val="11"/>
        <color rgb="FF7030A0"/>
        <rFont val="Calibri"/>
        <scheme val="minor"/>
      </rPr>
      <t>due to phytosanitary products</t>
    </r>
    <r>
      <rPr>
        <b/>
        <sz val="11"/>
        <color rgb="FF000000"/>
        <rFont val="Calibri"/>
        <scheme val="minor"/>
      </rPr>
      <t>):</t>
    </r>
  </si>
  <si>
    <t>Glyphosate</t>
  </si>
  <si>
    <t>3,96E-03</t>
  </si>
  <si>
    <t>Diesel, tractor</t>
  </si>
  <si>
    <t>d(Diesel) = 0,85 kg/L</t>
  </si>
  <si>
    <t>Oxyfluorone</t>
  </si>
  <si>
    <t>Wood wastes from vineyard  (stalk= 4% massa de uva)</t>
  </si>
  <si>
    <t>8,80E-01</t>
  </si>
  <si>
    <t xml:space="preserve">Unspecified </t>
  </si>
  <si>
    <t>Colheita</t>
  </si>
  <si>
    <t>Packaging wastes</t>
  </si>
  <si>
    <t>9,67E-04</t>
  </si>
  <si>
    <t xml:space="preserve">Sulphur </t>
  </si>
  <si>
    <t>2,98E-2</t>
  </si>
  <si>
    <t>Transport, tractor e reboque</t>
  </si>
  <si>
    <t>Flazasulfuron</t>
  </si>
  <si>
    <t>Other wastes (including wasted oil and other materials from equipment maintenance)</t>
  </si>
  <si>
    <t xml:space="preserve">2,62E-02 </t>
  </si>
  <si>
    <t>Copper</t>
  </si>
  <si>
    <t>1,72E-3</t>
  </si>
  <si>
    <r>
      <rPr>
        <sz val="11"/>
        <color rgb="FF000000"/>
        <rFont val="Calibri"/>
        <scheme val="minor"/>
      </rPr>
      <t xml:space="preserve">Inventory data for the direct inputs per functional unit from 1998 to 2005 </t>
    </r>
    <r>
      <rPr>
        <b/>
        <sz val="11"/>
        <color rgb="FFC00000"/>
        <rFont val="Calibri"/>
        <scheme val="minor"/>
      </rPr>
      <t>(1 FU is one bottle of 0.75 L wine)</t>
    </r>
  </si>
  <si>
    <t>Kresoxim-Methyl</t>
  </si>
  <si>
    <t>Stalk (4% of the grape mass)</t>
  </si>
  <si>
    <t>Pyraclostrobin</t>
  </si>
  <si>
    <t>1,94E-4</t>
  </si>
  <si>
    <r>
      <rPr>
        <sz val="11"/>
        <color rgb="FF000000"/>
        <rFont val="Calibri"/>
        <scheme val="minor"/>
      </rPr>
      <t xml:space="preserve">The remaining outputs, </t>
    </r>
    <r>
      <rPr>
        <b/>
        <sz val="11"/>
        <color rgb="FF000000"/>
        <rFont val="Calibri"/>
        <scheme val="minor"/>
      </rPr>
      <t xml:space="preserve">mostly emissions, </t>
    </r>
    <r>
      <rPr>
        <sz val="11"/>
        <color rgb="FF000000"/>
        <rFont val="Calibri"/>
        <scheme val="minor"/>
      </rPr>
      <t>were calculated with mass and energy balances as well as combustion modelling</t>
    </r>
  </si>
  <si>
    <t>Bagasse (13,5% of the grape mass)</t>
  </si>
  <si>
    <t xml:space="preserve">Synthetic fertilisers: </t>
  </si>
  <si>
    <t>the values in Table 1 were directly calculated from a set of 77 parameters retrieved directly from the owner of the state</t>
  </si>
  <si>
    <t>Metalaxyl-M</t>
  </si>
  <si>
    <t>Ammonia nitrate</t>
  </si>
  <si>
    <t>7,80E-03</t>
  </si>
  <si>
    <t>Viti Outputs</t>
  </si>
  <si>
    <t>Run-off fertilizers</t>
  </si>
  <si>
    <t>Mandipropamid</t>
  </si>
  <si>
    <t>Ammonia sulphate</t>
  </si>
  <si>
    <t>6,48E-02</t>
  </si>
  <si>
    <t>Heavy metals</t>
  </si>
  <si>
    <t>Hidroxido de cobre (Cu(OH)2)</t>
  </si>
  <si>
    <t>Urea ammonia nitrate</t>
  </si>
  <si>
    <t>6,28E-02</t>
  </si>
  <si>
    <t>Residuos da poda</t>
  </si>
  <si>
    <t>Oxido de Cobre</t>
  </si>
  <si>
    <t>1,26</t>
  </si>
  <si>
    <t>Cyazofamid</t>
  </si>
  <si>
    <t>All by-products and wastes are assumed to be returned to the vineyard as fertilizer or to have no economic value.</t>
  </si>
  <si>
    <t>Fluopicolide</t>
  </si>
  <si>
    <t>Mancozeb</t>
  </si>
  <si>
    <t>TOTAL Phytosanitary</t>
  </si>
  <si>
    <t>Fosetyl_AI</t>
  </si>
  <si>
    <t>TOTAL Fertilizers</t>
  </si>
  <si>
    <t>Trifloxystrobin</t>
  </si>
  <si>
    <t>Tebuconazole</t>
  </si>
  <si>
    <t>Cimoxanyl</t>
  </si>
  <si>
    <t>Cobre</t>
  </si>
  <si>
    <t>Ammonia</t>
  </si>
  <si>
    <t>1,88E-05</t>
  </si>
  <si>
    <t>Fungicida (não especificado)</t>
  </si>
  <si>
    <t>Nitrous oxide</t>
  </si>
  <si>
    <t>8,59E-04</t>
  </si>
  <si>
    <t>Pesticida (não especificado)</t>
  </si>
  <si>
    <t xml:space="preserve">Nitrogen oxides </t>
  </si>
  <si>
    <t>2,00E-04</t>
  </si>
  <si>
    <t xml:space="preserve">Carbon dioxide (fossil) </t>
  </si>
  <si>
    <t>1,97E-02</t>
  </si>
  <si>
    <t>Glufosinate</t>
  </si>
  <si>
    <t>Chlorpyrifos</t>
  </si>
  <si>
    <t>Spiroxamine</t>
  </si>
  <si>
    <t xml:space="preserve">Metiram </t>
  </si>
  <si>
    <t>2,58E-04</t>
  </si>
  <si>
    <t>Proquinazida</t>
  </si>
  <si>
    <t>Cymoxanil</t>
  </si>
  <si>
    <t>3,77E-05</t>
  </si>
  <si>
    <t>Fenhexamid</t>
  </si>
  <si>
    <t>7,30E-05</t>
  </si>
  <si>
    <t>Methoxyfenozide</t>
  </si>
  <si>
    <t>Copper Oxychloride</t>
  </si>
  <si>
    <t>2,35E-04</t>
  </si>
  <si>
    <t>Tetraconazol</t>
  </si>
  <si>
    <t>Quizalope-p-ethyl</t>
  </si>
  <si>
    <t>3,14E-05</t>
  </si>
  <si>
    <t>Diflufenican</t>
  </si>
  <si>
    <t xml:space="preserve"> 1,10E-05</t>
  </si>
  <si>
    <t>ÁGUA</t>
  </si>
  <si>
    <t xml:space="preserve">Folpet </t>
  </si>
  <si>
    <t>1,49E-03</t>
  </si>
  <si>
    <t>Petrol</t>
  </si>
  <si>
    <t>Produtividade</t>
  </si>
  <si>
    <t>Produtividade (ton/ha)</t>
  </si>
  <si>
    <t>1,89E-03</t>
  </si>
  <si>
    <t xml:space="preserve">Glyphosate </t>
  </si>
  <si>
    <t>9,90E-04</t>
  </si>
  <si>
    <r>
      <rPr>
        <sz val="11"/>
        <color rgb="FFC00000"/>
        <rFont val="Calibri"/>
        <scheme val="minor"/>
      </rPr>
      <t xml:space="preserve"> It was</t>
    </r>
    <r>
      <rPr>
        <b/>
        <sz val="11"/>
        <color rgb="FFC00000"/>
        <rFont val="Calibri"/>
        <scheme val="minor"/>
      </rPr>
      <t xml:space="preserve"> assumed that bagasse and stalk corresponds respectively to 13.5% and 4% of the total mass of processed grapes</t>
    </r>
    <r>
      <rPr>
        <sz val="11"/>
        <color rgb="FFC00000"/>
        <rFont val="Calibri"/>
        <scheme val="minor"/>
      </rPr>
      <t xml:space="preserve"> [12], since there was no information available.
It was also considered that stalk was applied in the agricultural field. Bagasse was sold (0.06 € kg-1 of bagasse), but it represents a very low cash flow (less than 1% of the wine cashflow) and no allocation of GHG emissions was performed (100% of emissions to wine).
</t>
    </r>
  </si>
  <si>
    <t>Unspecified</t>
  </si>
  <si>
    <t>2,35E-05</t>
  </si>
  <si>
    <t>Carbon dioxide (fossil)</t>
  </si>
  <si>
    <t>7,39E-01</t>
  </si>
  <si>
    <t>Carbon monoxide (fossil)</t>
  </si>
  <si>
    <t>1,39E-03</t>
  </si>
  <si>
    <t>Methane</t>
  </si>
  <si>
    <t>4,45E-06</t>
  </si>
  <si>
    <t>3,23E-05</t>
  </si>
  <si>
    <t>1,87E-06</t>
  </si>
  <si>
    <t>NMVOC</t>
  </si>
  <si>
    <t>2,74E-04</t>
  </si>
  <si>
    <t>Nitrogen oxides</t>
  </si>
  <si>
    <t xml:space="preserve">4,82E-03 </t>
  </si>
  <si>
    <t>Particulates</t>
  </si>
  <si>
    <t>1,47E-04</t>
  </si>
  <si>
    <t>Nitrate</t>
  </si>
  <si>
    <t>7,75E-04</t>
  </si>
  <si>
    <t xml:space="preserve">1,13E-04 </t>
  </si>
  <si>
    <t xml:space="preserve">Iprovalicarb </t>
  </si>
  <si>
    <t xml:space="preserve">2,19E-04 </t>
  </si>
  <si>
    <t>Acetamide–aniline compounds:</t>
  </si>
  <si>
    <t xml:space="preserve">Phenexamid </t>
  </si>
  <si>
    <t xml:space="preserve">7,05E-04 </t>
  </si>
  <si>
    <t xml:space="preserve">Tebuconazol </t>
  </si>
  <si>
    <t>9,43E-05</t>
  </si>
  <si>
    <t xml:space="preserve"> 3,30E-05 </t>
  </si>
  <si>
    <t xml:space="preserve">4,48E-03 </t>
  </si>
  <si>
    <t xml:space="preserve">5,66E-03 </t>
  </si>
  <si>
    <t>Glyphosate kg</t>
  </si>
  <si>
    <t xml:space="preserve">2,97E-03 </t>
  </si>
  <si>
    <t>2,24E-02</t>
  </si>
  <si>
    <t xml:space="preserve">Copper </t>
  </si>
  <si>
    <t xml:space="preserve">9,90E-04 </t>
  </si>
  <si>
    <t xml:space="preserve">Pyraclostrobin </t>
  </si>
  <si>
    <t xml:space="preserve">1,46E-04 </t>
  </si>
  <si>
    <t xml:space="preserve">Wood wastes from vineyard  </t>
  </si>
  <si>
    <t>Não incluí todos os pesticidas da segunda parte da tabela no Inventário</t>
  </si>
  <si>
    <t>The inventory data reports to the functional unit (FU) = 0.75 l of vinho verde.</t>
  </si>
  <si>
    <t>UF = 1 ha de terra</t>
  </si>
  <si>
    <t>No texto diz: valores para 1L de uvas!!!</t>
  </si>
  <si>
    <r>
      <rPr>
        <sz val="11"/>
        <color rgb="FF000000"/>
        <rFont val="Calibri"/>
      </rPr>
      <t xml:space="preserve">(Filipa, 2015) </t>
    </r>
    <r>
      <rPr>
        <b/>
        <sz val="11"/>
        <color rgb="FFFF0000"/>
        <rFont val="Calibri"/>
      </rPr>
      <t>Valores para 1 hectare !!!</t>
    </r>
  </si>
  <si>
    <t>Considerando:</t>
  </si>
  <si>
    <t>Multiplicar por 1,125Kg e dividir pela produtividdae em Kg</t>
  </si>
  <si>
    <t>vinho</t>
  </si>
  <si>
    <t>uvas</t>
  </si>
  <si>
    <t>Diesel Conversion from L to kg</t>
  </si>
  <si>
    <t>multiplicar L por 0,85 para ter em Kg</t>
  </si>
  <si>
    <t>"0,7L de vinho por 1kg de Uvas"</t>
  </si>
  <si>
    <t>Inventário Vinho Tinto</t>
  </si>
  <si>
    <t>Red Wine</t>
  </si>
  <si>
    <t>VinhoTinto</t>
  </si>
  <si>
    <t>Vinho tinto (espanha)</t>
  </si>
  <si>
    <t>Produção Vinho (fases)</t>
  </si>
  <si>
    <t>3 Regiões?</t>
  </si>
  <si>
    <t>Criança 2005</t>
  </si>
  <si>
    <t>Red_B</t>
  </si>
  <si>
    <t>Red_D</t>
  </si>
  <si>
    <t>Red_C</t>
  </si>
  <si>
    <t>Vinificação</t>
  </si>
  <si>
    <t>Uvas</t>
  </si>
  <si>
    <t>Produtos Enológicos</t>
  </si>
  <si>
    <t>Sulfur dioxide</t>
  </si>
  <si>
    <t>Esmagamento</t>
  </si>
  <si>
    <t>Wh</t>
  </si>
  <si>
    <t>Açucar</t>
  </si>
  <si>
    <t>Fermentação</t>
  </si>
  <si>
    <t>Levedura</t>
  </si>
  <si>
    <t>Acido ascórbico</t>
  </si>
  <si>
    <t>Fermentação secundária</t>
  </si>
  <si>
    <t>madeira de carvalho (barris)</t>
  </si>
  <si>
    <t>Sorbate</t>
  </si>
  <si>
    <t>transporte (camião)</t>
  </si>
  <si>
    <t>Filtrostabil (arabic gum)</t>
  </si>
  <si>
    <t>Perservantes</t>
  </si>
  <si>
    <t>metabissulfito</t>
  </si>
  <si>
    <t>Ácido cítrico</t>
  </si>
  <si>
    <t>Filtração</t>
  </si>
  <si>
    <t>electricidade</t>
  </si>
  <si>
    <t>CMC (estabilizador) Carboxymethyl cellulose</t>
  </si>
  <si>
    <t>Engarrafamento</t>
  </si>
  <si>
    <t>vidro verde</t>
  </si>
  <si>
    <t>Nutrientes</t>
  </si>
  <si>
    <t>cortiça</t>
  </si>
  <si>
    <t>Taninos</t>
  </si>
  <si>
    <t>alumínio</t>
  </si>
  <si>
    <t>Enzymas</t>
  </si>
  <si>
    <t>gelatinas</t>
  </si>
  <si>
    <t>polietileno</t>
  </si>
  <si>
    <t>Bentonite</t>
  </si>
  <si>
    <t>albumina</t>
  </si>
  <si>
    <t>transporte</t>
  </si>
  <si>
    <t>àcido metatártico</t>
  </si>
  <si>
    <t xml:space="preserve">Acido Tartárico </t>
  </si>
  <si>
    <t>Wine Production Wastes</t>
  </si>
  <si>
    <t>Recursos Energéticos</t>
  </si>
  <si>
    <t>4 ?</t>
  </si>
  <si>
    <t>DESCARTE (RESIDUOS)</t>
  </si>
  <si>
    <t>Aterrro</t>
  </si>
  <si>
    <t>Vidro, descarte, aterro</t>
  </si>
  <si>
    <t>Gás natural</t>
  </si>
  <si>
    <t>J</t>
  </si>
  <si>
    <r>
      <rPr>
        <sz val="11"/>
        <color rgb="FF000000"/>
        <rFont val="Calibri"/>
      </rPr>
      <t>Inventory data for the direct inputs per functional unit from 1998 to 2005</t>
    </r>
    <r>
      <rPr>
        <sz val="12"/>
        <color rgb="FF000000"/>
        <rFont val="Calibri"/>
      </rPr>
      <t xml:space="preserve"> </t>
    </r>
    <r>
      <rPr>
        <b/>
        <sz val="12"/>
        <color rgb="FF000000"/>
        <rFont val="Calibri"/>
      </rPr>
      <t>(1 FU is one bottle of 0,75 L wine)</t>
    </r>
  </si>
  <si>
    <t>Produto</t>
  </si>
  <si>
    <t>Vinho</t>
  </si>
  <si>
    <t>For the upstream and downstream processes, the Ecoinvent Data_x0002_base (v3.1) was used (Swiss Centre for Life-Cycle Inventories, 2007). Some of the process data were adapted to obtain more site specific data, as in the case of the glass production</t>
  </si>
  <si>
    <t>Caules</t>
  </si>
  <si>
    <t>Bagasso</t>
  </si>
  <si>
    <r>
      <rPr>
        <sz val="11"/>
        <color rgb="FF000000"/>
        <rFont val="Calibri"/>
        <scheme val="minor"/>
      </rPr>
      <t xml:space="preserve">Em 2005 foram produxzidas </t>
    </r>
    <r>
      <rPr>
        <b/>
        <sz val="11"/>
        <color rgb="FF000000"/>
        <rFont val="Calibri"/>
        <scheme val="minor"/>
      </rPr>
      <t>30000 garrafas (0,75L) de vinho</t>
    </r>
  </si>
  <si>
    <r>
      <rPr>
        <sz val="11"/>
        <color rgb="FF000000"/>
        <rFont val="Calibri"/>
      </rPr>
      <t>O rendimento da produção de vinho foi de</t>
    </r>
    <r>
      <rPr>
        <b/>
        <sz val="11"/>
        <color rgb="FF000000"/>
        <rFont val="Calibri"/>
      </rPr>
      <t xml:space="preserve"> 3309 L/ha</t>
    </r>
  </si>
  <si>
    <t>(FU) = 0,75 l of vinho verde</t>
  </si>
  <si>
    <t>Por 0,75L de vinho</t>
  </si>
  <si>
    <t>Inventário Vinho branco</t>
  </si>
  <si>
    <t>White Wine</t>
  </si>
  <si>
    <t>Vinho Branco</t>
  </si>
  <si>
    <t>DOI 10,1007/s11367-012-0518-4</t>
  </si>
  <si>
    <t>White_B</t>
  </si>
  <si>
    <t>White_D</t>
  </si>
  <si>
    <t>White_C</t>
  </si>
  <si>
    <t xml:space="preserve">Vinho 1 </t>
  </si>
  <si>
    <t>1,68E-03</t>
  </si>
  <si>
    <t>2,91E-01</t>
  </si>
  <si>
    <t>LPG for bottles sterilization</t>
  </si>
  <si>
    <t>8,68E-03</t>
  </si>
  <si>
    <t>White glass bottle</t>
  </si>
  <si>
    <t>5,30E-01</t>
  </si>
  <si>
    <t xml:space="preserve"> kg</t>
  </si>
  <si>
    <t>Wine additives:</t>
  </si>
  <si>
    <t>Sodium hydroxide</t>
  </si>
  <si>
    <t>1,35E-03</t>
  </si>
  <si>
    <t>Tallow (sebo!?)</t>
  </si>
  <si>
    <t>9,20E-07</t>
  </si>
  <si>
    <t>Cleaning agents and disinfectants:</t>
  </si>
  <si>
    <t>CMC (estabilizador)</t>
  </si>
  <si>
    <t>Isopropanol</t>
  </si>
  <si>
    <t>3,68E-06</t>
  </si>
  <si>
    <t>Peracetic acid</t>
  </si>
  <si>
    <t>Hydrogen peroxide</t>
  </si>
  <si>
    <t>Ammonium chloride</t>
  </si>
  <si>
    <t>2,76E-05</t>
  </si>
  <si>
    <t xml:space="preserve">EDTA (ethylenediaminetetraacetic acid) </t>
  </si>
  <si>
    <t>1,12E-04</t>
  </si>
  <si>
    <t>7,04E-04</t>
  </si>
  <si>
    <t>Potassium hydroxide</t>
  </si>
  <si>
    <t xml:space="preserve"> 7,45E-06</t>
  </si>
  <si>
    <t xml:space="preserve">Sodium hypochlorite </t>
  </si>
  <si>
    <t>5,04E-06</t>
  </si>
  <si>
    <t xml:space="preserve">Phosphoric acid </t>
  </si>
  <si>
    <t>5,80E-05</t>
  </si>
  <si>
    <t>Enologic products:</t>
  </si>
  <si>
    <t>Nitrogen liquid</t>
  </si>
  <si>
    <t>7,40E-04</t>
  </si>
  <si>
    <t>Carbon dioxide liquid</t>
  </si>
  <si>
    <t>2,61E-04</t>
  </si>
  <si>
    <t xml:space="preserve">Oxygen liquid </t>
  </si>
  <si>
    <t>1,05E-06</t>
  </si>
  <si>
    <t>Sulfur dioxide liquid</t>
  </si>
  <si>
    <t xml:space="preserve"> 1,38E-04 </t>
  </si>
  <si>
    <t xml:space="preserve"> 6,28E-04</t>
  </si>
  <si>
    <t>Potassium carbonate</t>
  </si>
  <si>
    <t xml:space="preserve"> 1,68E-04</t>
  </si>
  <si>
    <t>Potassium metabisulphite</t>
  </si>
  <si>
    <t>6,32E-05</t>
  </si>
  <si>
    <t>Whey (enzymes) (enzimas de soro de leite!?)</t>
  </si>
  <si>
    <t xml:space="preserve"> 1,01E-04 </t>
  </si>
  <si>
    <t>Yeast</t>
  </si>
  <si>
    <t xml:space="preserve"> 1,53E-04 </t>
  </si>
  <si>
    <t>DAP (diammonium phosphate)</t>
  </si>
  <si>
    <t xml:space="preserve"> 1,10E-04</t>
  </si>
  <si>
    <t xml:space="preserve">Silica gel </t>
  </si>
  <si>
    <t xml:space="preserve">3,45E-04 </t>
  </si>
  <si>
    <t xml:space="preserve">Gelatine </t>
  </si>
  <si>
    <t>1,04E-04</t>
  </si>
  <si>
    <t xml:space="preserve">Flor-stop agent </t>
  </si>
  <si>
    <t>3,31E-08</t>
  </si>
  <si>
    <t xml:space="preserve">PVPP (polyvinyl polypyrrolidone) granulate </t>
  </si>
  <si>
    <t>9,78E-05</t>
  </si>
  <si>
    <t>Filtering materials:</t>
  </si>
  <si>
    <t xml:space="preserve">Corrugated board </t>
  </si>
  <si>
    <t xml:space="preserve">1,45E-04 </t>
  </si>
  <si>
    <t xml:space="preserve">Perlite </t>
  </si>
  <si>
    <t xml:space="preserve">2,57E-03 </t>
  </si>
  <si>
    <t>Silica sand</t>
  </si>
  <si>
    <t xml:space="preserve"> 3,84E-04</t>
  </si>
  <si>
    <t>Kraft paper</t>
  </si>
  <si>
    <t xml:space="preserve">3,59E-04 </t>
  </si>
  <si>
    <t>Transport of wine products:</t>
  </si>
  <si>
    <t xml:space="preserve">Transport of additives </t>
  </si>
  <si>
    <t xml:space="preserve">5,30E-05 </t>
  </si>
  <si>
    <t>t.Km</t>
  </si>
  <si>
    <t xml:space="preserve">Transport of disinfectants </t>
  </si>
  <si>
    <t xml:space="preserve">6,53E-04 </t>
  </si>
  <si>
    <t xml:space="preserve">Transport of enologic products </t>
  </si>
  <si>
    <t>4,26E-04</t>
  </si>
  <si>
    <t xml:space="preserve">Transport of filtering materials </t>
  </si>
  <si>
    <t xml:space="preserve">1,32E-04 </t>
  </si>
  <si>
    <t>Wine production outputs:</t>
  </si>
  <si>
    <t>Wine</t>
  </si>
  <si>
    <t>0,75</t>
  </si>
  <si>
    <t>Produção de Vinho</t>
  </si>
  <si>
    <t>Air emissions from fermentation:</t>
  </si>
  <si>
    <t>Carbon dioxide (biogenic)</t>
  </si>
  <si>
    <t xml:space="preserve"> 5,20E-02</t>
  </si>
  <si>
    <t xml:space="preserve">Non-methane volatile organic compounds </t>
  </si>
  <si>
    <t>2,63E-04</t>
  </si>
  <si>
    <t>Air emissions from LPG combustion:</t>
  </si>
  <si>
    <t>2,54E-02</t>
  </si>
  <si>
    <t xml:space="preserve">Methane </t>
  </si>
  <si>
    <t>4,02E-04</t>
  </si>
  <si>
    <t xml:space="preserve">Nitrous oxide </t>
  </si>
  <si>
    <t xml:space="preserve">4,02E-05 </t>
  </si>
  <si>
    <t xml:space="preserve"> 4,02E-05</t>
  </si>
  <si>
    <t>1,61E-05</t>
  </si>
  <si>
    <t>NMVOC (non-methane volatile organic compounds)</t>
  </si>
  <si>
    <t xml:space="preserve">4,02E-06 </t>
  </si>
  <si>
    <t xml:space="preserve">Sulphur oxides </t>
  </si>
  <si>
    <t xml:space="preserve">5,63E-05 </t>
  </si>
  <si>
    <t xml:space="preserve">Particulates </t>
  </si>
  <si>
    <t xml:space="preserve">1,11E-05 </t>
  </si>
  <si>
    <t>PM&lt; 10 um</t>
  </si>
  <si>
    <t>8,65E-06</t>
  </si>
  <si>
    <t xml:space="preserve">PM&lt; 2,5 um </t>
  </si>
  <si>
    <t>6,63E-06</t>
  </si>
  <si>
    <t xml:space="preserve">Lead </t>
  </si>
  <si>
    <t xml:space="preserve">6,43E-09 </t>
  </si>
  <si>
    <t>Cadmium</t>
  </si>
  <si>
    <t xml:space="preserve"> 1,21E-10</t>
  </si>
  <si>
    <t xml:space="preserve">Mercury </t>
  </si>
  <si>
    <t xml:space="preserve">4,02E-11 </t>
  </si>
  <si>
    <t>Arsenic</t>
  </si>
  <si>
    <t>4,02E-10</t>
  </si>
  <si>
    <t xml:space="preserve">Chromium </t>
  </si>
  <si>
    <t>5,14E-09</t>
  </si>
  <si>
    <t xml:space="preserve">2,89E-09 </t>
  </si>
  <si>
    <t>Nickel</t>
  </si>
  <si>
    <t xml:space="preserve"> 1,04E-07 </t>
  </si>
  <si>
    <t xml:space="preserve">Zinc </t>
  </si>
  <si>
    <t xml:space="preserve">3,22E-09 </t>
  </si>
  <si>
    <t>Polychlorinated dioxins and furans (PCDD/F)</t>
  </si>
  <si>
    <t xml:space="preserve">4,02E-15 </t>
  </si>
  <si>
    <t xml:space="preserve">Benzo(a)pyrene </t>
  </si>
  <si>
    <t xml:space="preserve">2,09E-09 </t>
  </si>
  <si>
    <t xml:space="preserve">Benzo(b)fluoranthene </t>
  </si>
  <si>
    <t xml:space="preserve">2,49E-09 </t>
  </si>
  <si>
    <t xml:space="preserve">Benzo(b, j, k)fluoranthene </t>
  </si>
  <si>
    <t xml:space="preserve">1,61E-09 </t>
  </si>
  <si>
    <t>Indeno(1,2,3-cd)pyrene</t>
  </si>
  <si>
    <t xml:space="preserve"> 8,84E-10 </t>
  </si>
  <si>
    <t>Water emissions:</t>
  </si>
  <si>
    <t>COD (Chemical Oxygen Demand)</t>
  </si>
  <si>
    <t xml:space="preserve">2,23E-03 </t>
  </si>
  <si>
    <t>BOD5 (Biological oxygen Demand)</t>
  </si>
  <si>
    <t xml:space="preserve">5,59E-04 </t>
  </si>
  <si>
    <t xml:space="preserve">TSS </t>
  </si>
  <si>
    <t xml:space="preserve">7,70E-04 </t>
  </si>
  <si>
    <t xml:space="preserve">Phosphorus (total) </t>
  </si>
  <si>
    <t xml:space="preserve">5,39E-05 </t>
  </si>
  <si>
    <t xml:space="preserve">Nitrogen (total) </t>
  </si>
  <si>
    <t xml:space="preserve">7,51E-05 </t>
  </si>
  <si>
    <t>Solid wastes:</t>
  </si>
  <si>
    <t>Stalk</t>
  </si>
  <si>
    <t xml:space="preserve"> 3,13E-02</t>
  </si>
  <si>
    <t xml:space="preserve">Bagasse </t>
  </si>
  <si>
    <t>7,46E-02</t>
  </si>
  <si>
    <t xml:space="preserve">Organic waste </t>
  </si>
  <si>
    <t xml:space="preserve">2,04E-02 </t>
  </si>
  <si>
    <t>Urban wastes</t>
  </si>
  <si>
    <t xml:space="preserve">1,85E-02 </t>
  </si>
  <si>
    <t>The inventory data reports to the functional unit (FU) = 0,75 l of vinho verde,</t>
  </si>
  <si>
    <t>Neste Artigo fornecem ainda o inventário para a distribuição do vinho!</t>
  </si>
  <si>
    <t>Sahar Youseftabar</t>
  </si>
  <si>
    <t>Jimmy reported that the magnitude of impact per kg of paddy produced from the harvested field; a CO2 eq emission of 3.15 kg as GWP, FD of 0.68 kg oil eq, a N eq emission of 0.0154 kg as ME a P eq emission of 0.00122 kg as FE, a 1, 4-DCB-kg oil eq emission of 1.15 kg as human toxicity and use of 2.97 m3 of water for irrigation purpose</t>
  </si>
  <si>
    <t>Life cycle assessment of rice cropping systems in traditional and semimechanized planting patterns in northern Iran</t>
  </si>
  <si>
    <t>Energia consumida</t>
  </si>
  <si>
    <t>palha de arroz e casca de arroz</t>
  </si>
  <si>
    <t>água p/ irrigação</t>
  </si>
  <si>
    <t>Ebrahim Habibi</t>
  </si>
  <si>
    <t>LCA finding demonstrated that rice production leads to 1166.09 kg CO2 eq. emission per ton.</t>
  </si>
  <si>
    <t>Life cycle assessment of rice production systems in different paddy field size levels in north of Iran</t>
  </si>
  <si>
    <t>Emissões de CO2</t>
  </si>
  <si>
    <t>Yodkhum et al. (2017), by using LCA methodology for organic rice production in Thailand, reported that GHG emission equals 0.58 kg CO2 eq. per kg of paddy which the main share was related to farm emission (83% of total GHG emission), followed by land preparation (9%), harvesting (5%), and other stages (3%).</t>
  </si>
  <si>
    <t>Unidade funcional</t>
  </si>
  <si>
    <t>1 kg de arroz</t>
  </si>
  <si>
    <t>Blengini (1kg de arroz)</t>
  </si>
  <si>
    <t>MJ</t>
  </si>
  <si>
    <t>CO2 eq</t>
  </si>
  <si>
    <t>Kg Co2 eq</t>
  </si>
  <si>
    <t>The life cycle of rice: LCA of alternative agri-food chain management systems in Vercelli (Italy)</t>
  </si>
  <si>
    <t>Mohammad Hariz Abdul Rahman</t>
  </si>
  <si>
    <t>The average production is 10 tonnes per lot or approxi_x0002_mately 8.3 tonnes per hectare. Losses from rejected grains, empty
grains and excess moisture stood at 30% of the harvested yield. Un_x0002_milled rice grain is therefore estimated at 5.8 tonnes per hectareThis is equivalent to 0.172 ha of area required for every 1 tonne of un-milled grain produced</t>
  </si>
  <si>
    <t>Life cycle assessment in conventional rice farming system: Estimation of greenhouse gas emissions using cradle-to-gate approach</t>
  </si>
  <si>
    <t>Água consumida</t>
  </si>
  <si>
    <t>Tatiana</t>
  </si>
  <si>
    <t>Casca de arroz</t>
  </si>
  <si>
    <t>A UTILIZAÇÃO DA CASCA DE ARROZ COMO CARGA EM PASTAS DE PREENCHIMENTO PARA A CONSERVAÇÃO E RESTAURO</t>
  </si>
  <si>
    <t>50% de palha de arroz</t>
  </si>
  <si>
    <t>para uma tonelada</t>
  </si>
  <si>
    <r>
      <rPr>
        <sz val="11"/>
        <color rgb="FF000000"/>
        <rFont val="Open Sans"/>
      </rPr>
      <t>Better land levelling would improve the uniformity conditions in the fields. It is estimated by the water managers that this management practice requires on average about 16,390 m</t>
    </r>
    <r>
      <rPr>
        <sz val="8"/>
        <color rgb="FF000000"/>
        <rFont val="Open Sans"/>
      </rPr>
      <t>3</t>
    </r>
    <r>
      <rPr>
        <sz val="11"/>
        <color rgb="FF000000"/>
        <rFont val="Open Sans"/>
      </rPr>
      <t>/ha/year, at the irrigation district scale; variation between individual holdings is likely justified by the different soil conditions. This water requirement for rice cultivation represents almost 80% of the Mondego basin water abstraction devoted to irrigate the whole Lower Mondego agricultural area. The irrigation water tariff paid by the farmers depends on the area of their irrigated land</t>
    </r>
  </si>
  <si>
    <t>Elementor #321 - MEDWATERICE</t>
  </si>
  <si>
    <t>The system boundaries were set to cradle to farm gate, and 1 ton of final product (dry matter) was used as the functional unit.</t>
  </si>
  <si>
    <t xml:space="preserve">Elnaz </t>
  </si>
  <si>
    <t>Environmental Life Cycle Assessment in Organic and Conventional Rice Farming Systems: Using a Cradle to Farm Gate Approach</t>
  </si>
  <si>
    <t>Data inventory for functional unit inputs of 1 tonne of un-milled grains.</t>
  </si>
  <si>
    <t>Parameter</t>
  </si>
  <si>
    <t>Input Item</t>
  </si>
  <si>
    <t>Quantity</t>
  </si>
  <si>
    <t>Unit</t>
  </si>
  <si>
    <t>Agri cultural practices</t>
  </si>
  <si>
    <t>Application doses and (or) Frequency</t>
  </si>
  <si>
    <t>CONV</t>
  </si>
  <si>
    <t>INT</t>
  </si>
  <si>
    <t>SAED_.2td</t>
  </si>
  <si>
    <t>SAED_3td</t>
  </si>
  <si>
    <t>Landuse</t>
  </si>
  <si>
    <t>Paddy plot</t>
  </si>
  <si>
    <t>Soil</t>
  </si>
  <si>
    <t>Every 3 years</t>
  </si>
  <si>
    <t>Mould board plough coupled to trator</t>
  </si>
  <si>
    <t>Rice straw (soit incorporation) 4,1 tonnes/ha)</t>
  </si>
  <si>
    <t>tomne</t>
  </si>
  <si>
    <t>preparation</t>
  </si>
  <si>
    <t>kW/IO</t>
  </si>
  <si>
    <t>ha¯l/l h ha¯l)</t>
  </si>
  <si>
    <t>Rice straw (open burning)</t>
  </si>
  <si>
    <t>U rea</t>
  </si>
  <si>
    <t>kg ha</t>
  </si>
  <si>
    <t>M aterial</t>
  </si>
  <si>
    <t>Benih sah/Benih berdaftar</t>
  </si>
  <si>
    <t>DAP O feet Sowin g</t>
  </si>
  <si>
    <t>kg ha ¯1 Every year kg ha</t>
  </si>
  <si>
    <t>As FU, the cultivation of 1 hectare of land, which in the case study considered, provides about 7–8000 kg of rice, was cho_x0002_sen in this study</t>
  </si>
  <si>
    <t>Vinci</t>
  </si>
  <si>
    <t>Environmental life cycle assessment of rice production in northern Italy: a case study from Vercelli</t>
  </si>
  <si>
    <t>Fuel</t>
  </si>
  <si>
    <t>Diesel to mobilize tractors during land preparation (3x per season)</t>
  </si>
  <si>
    <t>liter</t>
  </si>
  <si>
    <t>Disc plough coupled to ractor (89 kW/IO L dißel ha¯l/l h ha</t>
  </si>
  <si>
    <t>Diesel to mobilize 1 combined harvester</t>
  </si>
  <si>
    <t>12.0</t>
  </si>
  <si>
    <t>Gasoline for blower and sprayer</t>
  </si>
  <si>
    <t>TOP —dressing fertilisation</t>
  </si>
  <si>
    <t>Fertilizer &amp; Soii Conditioner</t>
  </si>
  <si>
    <t>Urea (46% N)</t>
  </si>
  <si>
    <t>Urea</t>
  </si>
  <si>
    <t>12.5</t>
  </si>
  <si>
    <t>Urea - N (17.5X)PK sebatian</t>
  </si>
  <si>
    <t>1 so</t>
  </si>
  <si>
    <t>SO</t>
  </si>
  <si>
    <t>CIRP- N (17.5%) P(15.5X) K sebatian</t>
  </si>
  <si>
    <t>DAP Herb icides</t>
  </si>
  <si>
    <t>kg ha¯</t>
  </si>
  <si>
    <t>MOP- N (17_5X) P(15_15X) K (10%) sebatian</t>
  </si>
  <si>
    <t>Bensulfuron</t>
  </si>
  <si>
    <t>kg' ha¯</t>
  </si>
  <si>
    <t>0.06</t>
  </si>
  <si>
    <t>CM</t>
  </si>
  <si>
    <t>Urea - N (173 PK Tambahan</t>
  </si>
  <si>
    <t>onethyl 2,4-D</t>
  </si>
  <si>
    <t>kg' ha</t>
  </si>
  <si>
    <t>0.972</t>
  </si>
  <si>
    <t>Rafaela</t>
  </si>
  <si>
    <t>Atualmente, a área de cultivo de arroz ocupa 56% da área total do Vale do Mondego, o que corresponde a 7000 ha, ou seja, 30.000t de arroz e uma mão-de-obra de cerca 6300 agricultores (Agronegócios@, 2015). O processo de transformação do arroz, que vai desde a colheita do cereal até à obtenção do produto acabado, origina resíduos de valor económico e nutritivo baixos. Cerca de 15.000t de palha e 6.000t de casca (Figura 2.10) são produzidas anualmente no Baixo Mondego, sendo esta colhida entre Setembro e Outubro.</t>
  </si>
  <si>
    <t>CARACTERIZAÇÃO DE UM COMPÓSITO COM CASCA DE ARROZ E GRANULADO DE BORRACHA</t>
  </si>
  <si>
    <t>CIRP - N (17%) P(.3X) K Tambahan</t>
  </si>
  <si>
    <t>Propa nil</t>
  </si>
  <si>
    <t>3.84</t>
  </si>
  <si>
    <t>MOP - N (17%) P(3X) K (.25X) Tambahan</t>
  </si>
  <si>
    <t>Irrigation Harvesting</t>
  </si>
  <si>
    <t>m3 ha¯</t>
  </si>
  <si>
    <t>Organic (5% N)</t>
  </si>
  <si>
    <t>By hand with animakrawn thresher (2.5 kw)</t>
  </si>
  <si>
    <t>Cbnnbine harvester (95 kW/12 L diesel ha 1.5 h ha¯l)</t>
  </si>
  <si>
    <t>Total U rea</t>
  </si>
  <si>
    <t>Tota CIRI)</t>
  </si>
  <si>
    <t>Paddy rice</t>
  </si>
  <si>
    <t>4832. 7425</t>
  </si>
  <si>
    <t>6000b</t>
  </si>
  <si>
    <t>Total MOP</t>
  </si>
  <si>
    <t>yield</t>
  </si>
  <si>
    <t>1 ha</t>
  </si>
  <si>
    <t>Total N</t>
  </si>
  <si>
    <t>Impact categories</t>
  </si>
  <si>
    <t>unit</t>
  </si>
  <si>
    <t>soil prepartion</t>
  </si>
  <si>
    <t>sowing</t>
  </si>
  <si>
    <t>crop management</t>
  </si>
  <si>
    <t>irrigation</t>
  </si>
  <si>
    <t>Harvest</t>
  </si>
  <si>
    <t>Total</t>
  </si>
  <si>
    <t>Limestone</t>
  </si>
  <si>
    <t>Phases</t>
  </si>
  <si>
    <t>input</t>
  </si>
  <si>
    <t>typology</t>
  </si>
  <si>
    <t>unit/ha</t>
  </si>
  <si>
    <t>GWP</t>
  </si>
  <si>
    <t>kg CO2 eq</t>
  </si>
  <si>
    <t>Pesticide</t>
  </si>
  <si>
    <t>Pretilachor</t>
  </si>
  <si>
    <t>The inventory data of rice cultivation per crop (1 ha).</t>
  </si>
  <si>
    <t>Soil Preparation</t>
  </si>
  <si>
    <t>SOD</t>
  </si>
  <si>
    <t>Kg CFC11 eq</t>
  </si>
  <si>
    <t>Buprofezin and Cartap Hydrochloride</t>
  </si>
  <si>
    <t>Convencional</t>
  </si>
  <si>
    <t>Organico</t>
  </si>
  <si>
    <t>Plowing</t>
  </si>
  <si>
    <t>farming diesel</t>
  </si>
  <si>
    <t>fuel</t>
  </si>
  <si>
    <t>IR</t>
  </si>
  <si>
    <t>KBq Co-60 eq</t>
  </si>
  <si>
    <t>Urea (N)</t>
  </si>
  <si>
    <t>kg/ha</t>
  </si>
  <si>
    <t>100,85 ± 11,35</t>
  </si>
  <si>
    <t>Harrowing</t>
  </si>
  <si>
    <t>OFHH</t>
  </si>
  <si>
    <t>kg NOx eq</t>
  </si>
  <si>
    <t>Fipronil</t>
  </si>
  <si>
    <t>Triple superphosphate</t>
  </si>
  <si>
    <t>80,41 ± 5,21</t>
  </si>
  <si>
    <t>Leveling</t>
  </si>
  <si>
    <t>FPMF</t>
  </si>
  <si>
    <t>Kg PM2.5 eq</t>
  </si>
  <si>
    <t>Potassium chloride</t>
  </si>
  <si>
    <t>50,35 ± 3,63</t>
  </si>
  <si>
    <t>Sowing</t>
  </si>
  <si>
    <t>OFTE</t>
  </si>
  <si>
    <t>Manure</t>
  </si>
  <si>
    <t>9700 ± 14,32</t>
  </si>
  <si>
    <t>Farming diesel</t>
  </si>
  <si>
    <t>TA</t>
  </si>
  <si>
    <t>Kg SO2 eq</t>
  </si>
  <si>
    <t>Comparison on both studies showed GWP100 as 1.47 kg CO2 eq and 1.50 kg CO2 eq respectively for every kg of rice produced.</t>
  </si>
  <si>
    <t>Nguyen Van Hung</t>
  </si>
  <si>
    <t xml:space="preserve"> Energy and GHGE conversion factors Of fuel, agronomic inputs, and products</t>
  </si>
  <si>
    <t>Life Cycle Assessment Applied in Rice Production and Residue Management</t>
  </si>
  <si>
    <t>Vermicompost</t>
  </si>
  <si>
    <t>5001 ± 15,86</t>
  </si>
  <si>
    <t>Rice seeds</t>
  </si>
  <si>
    <t>prodution input</t>
  </si>
  <si>
    <t>FE</t>
  </si>
  <si>
    <t>Kg P eq</t>
  </si>
  <si>
    <t>Parameters</t>
  </si>
  <si>
    <t>Energy</t>
  </si>
  <si>
    <t>GHGE</t>
  </si>
  <si>
    <t>Insecticides</t>
  </si>
  <si>
    <t>5,03 ± 0,98</t>
  </si>
  <si>
    <t>Crop Management</t>
  </si>
  <si>
    <t>ME</t>
  </si>
  <si>
    <t>Kg N eq</t>
  </si>
  <si>
    <t>Sources</t>
  </si>
  <si>
    <t>Herbicides</t>
  </si>
  <si>
    <t>15,05 ± 2,32</t>
  </si>
  <si>
    <t>Fertilization</t>
  </si>
  <si>
    <t>TE</t>
  </si>
  <si>
    <t>Kg 1.4-DCB</t>
  </si>
  <si>
    <t>Seeds</t>
  </si>
  <si>
    <t>MJ kg-I</t>
  </si>
  <si>
    <t>a, b</t>
  </si>
  <si>
    <t>kgC02-eq kg-I</t>
  </si>
  <si>
    <t>a, b, j</t>
  </si>
  <si>
    <t>Fungicides</t>
  </si>
  <si>
    <t>Weeding</t>
  </si>
  <si>
    <t>Organic NPK 10-5-15 mix</t>
  </si>
  <si>
    <t>fertilizer</t>
  </si>
  <si>
    <t>FEC</t>
  </si>
  <si>
    <t>Grain</t>
  </si>
  <si>
    <t>l/ha</t>
  </si>
  <si>
    <t>=170,4 ± 14,76</t>
  </si>
  <si>
    <t>159,6 ± 14,87</t>
  </si>
  <si>
    <t>Urea 46%</t>
  </si>
  <si>
    <t>MEC</t>
  </si>
  <si>
    <t>Diesel consumption</t>
  </si>
  <si>
    <t>MJ L-1</t>
  </si>
  <si>
    <t>a, b, d, e</t>
  </si>
  <si>
    <t>kgCO2 eq. MJ-1</t>
  </si>
  <si>
    <t>Machinery</t>
  </si>
  <si>
    <t>h/ha</t>
  </si>
  <si>
    <t>50 ± 22,12</t>
  </si>
  <si>
    <t>42 ± 8,96</t>
  </si>
  <si>
    <t>KCL</t>
  </si>
  <si>
    <t>HCT</t>
  </si>
  <si>
    <t>Machine production</t>
  </si>
  <si>
    <t>d, e,</t>
  </si>
  <si>
    <t>79,14 ± 11,54</t>
  </si>
  <si>
    <t>78 ± 6,36</t>
  </si>
  <si>
    <t>HNCT</t>
  </si>
  <si>
    <t>Nitrogen (N)</t>
  </si>
  <si>
    <t>a, b, g</t>
  </si>
  <si>
    <t>kgC02-eq kg¯l</t>
  </si>
  <si>
    <t>m3/ha</t>
  </si>
  <si>
    <t>11000 ± 0,12</t>
  </si>
  <si>
    <t>9800 ± 0,12</t>
  </si>
  <si>
    <t>Lambda-cyhalothrin</t>
  </si>
  <si>
    <t>insecticide</t>
  </si>
  <si>
    <t>LU</t>
  </si>
  <si>
    <t>m2a crop eq</t>
  </si>
  <si>
    <t>P2O5</t>
  </si>
  <si>
    <t>yield paddy rice</t>
  </si>
  <si>
    <t>3490 ± 53,18</t>
  </si>
  <si>
    <t>4000 ± 59,35</t>
  </si>
  <si>
    <t xml:space="preserve">Cycloxydim pure </t>
  </si>
  <si>
    <t>herbicide</t>
  </si>
  <si>
    <t>MRS</t>
  </si>
  <si>
    <t>Kg Cu eq</t>
  </si>
  <si>
    <t>K2O</t>
  </si>
  <si>
    <t>yield straw</t>
  </si>
  <si>
    <t xml:space="preserve">1240 ± 45,53 </t>
  </si>
  <si>
    <t>1650 ± 39,12</t>
  </si>
  <si>
    <t xml:space="preserve">Imazamox(*2) </t>
  </si>
  <si>
    <t>FRS</t>
  </si>
  <si>
    <t>kg Oil eq</t>
  </si>
  <si>
    <t>Herbicide</t>
  </si>
  <si>
    <t>a, b, h,</t>
  </si>
  <si>
    <t>Profoxydim</t>
  </si>
  <si>
    <t>WC</t>
  </si>
  <si>
    <t>a: Ecoinvent (2017), b: SIMAPRO (2017), c: Pimentel and Pimentel (2008), d: Bowers (1992), e: Richard (1992), f: Dalgaard et al. (2001), g: Kool et al. (2012), h: Mudahar and Hignett (1987), i: Grossini and Cassman (201 1), j: IPCC (2013)</t>
  </si>
  <si>
    <t>Florpyrauxifen-benzyl</t>
  </si>
  <si>
    <t>PO4</t>
  </si>
  <si>
    <t>water</t>
  </si>
  <si>
    <t>Comparison of literature studies (GWP)</t>
  </si>
  <si>
    <t>Ref.</t>
  </si>
  <si>
    <t>Countries</t>
  </si>
  <si>
    <t>GWP (kg C02 eq)</t>
  </si>
  <si>
    <t>FU</t>
  </si>
  <si>
    <t>Shew et al. (2019)</t>
  </si>
  <si>
    <t>Bangladesh</t>
  </si>
  <si>
    <t>1 kg</t>
  </si>
  <si>
    <t>Midpoint environmental impact assessment (1 ton of dry matter) of conventional and organic rice farming.</t>
  </si>
  <si>
    <t>Rice</t>
  </si>
  <si>
    <t>Jimmy et al. (2017)</t>
  </si>
  <si>
    <t>Impact Category</t>
  </si>
  <si>
    <t>Damage category</t>
  </si>
  <si>
    <t>Conventional</t>
  </si>
  <si>
    <t>Emission to air</t>
  </si>
  <si>
    <t>Conro et al. (2017)</t>
  </si>
  <si>
    <t>Brazil</t>
  </si>
  <si>
    <t>Particulate matter formation</t>
  </si>
  <si>
    <t>Human health</t>
  </si>
  <si>
    <t>Kg PM2.5eq</t>
  </si>
  <si>
    <t>Kg CO2 eq</t>
  </si>
  <si>
    <t>1 ton</t>
  </si>
  <si>
    <t>Human carcinogenic toxicity</t>
  </si>
  <si>
    <t>Xu et al. (2022)</t>
  </si>
  <si>
    <t>China</t>
  </si>
  <si>
    <t>Human non-carcinogenic toxicity</t>
  </si>
  <si>
    <t>Dinitrogen monoxide</t>
  </si>
  <si>
    <t>Shen et al. (2021)</t>
  </si>
  <si>
    <t>Ionizing radiation</t>
  </si>
  <si>
    <t>Sulfur Hexafluoride</t>
  </si>
  <si>
    <t>Masuda (2019)</t>
  </si>
  <si>
    <t>Japan</t>
  </si>
  <si>
    <t>Ozone formation</t>
  </si>
  <si>
    <t>Kg NOx eq</t>
  </si>
  <si>
    <t>Emissions to water (freshwater)</t>
  </si>
  <si>
    <t>Morandini et al. (2020)</t>
  </si>
  <si>
    <t>Iran</t>
  </si>
  <si>
    <t>Stratospheric Ozone depletion</t>
  </si>
  <si>
    <t>Phosphate</t>
  </si>
  <si>
    <t>kg P eq</t>
  </si>
  <si>
    <t>Habibi et al. (2019)</t>
  </si>
  <si>
    <t>Fossil resource scarcity</t>
  </si>
  <si>
    <t>Resources</t>
  </si>
  <si>
    <t>Kg oil eq</t>
  </si>
  <si>
    <t>Phosforus</t>
  </si>
  <si>
    <t>Zoli et al. (2021)</t>
  </si>
  <si>
    <t>Italy</t>
  </si>
  <si>
    <t>mineral resource scarcity</t>
  </si>
  <si>
    <t>Emissions to water (marine)</t>
  </si>
  <si>
    <t>Abdul Rahman et al. (2019)</t>
  </si>
  <si>
    <t>Malaysia</t>
  </si>
  <si>
    <t xml:space="preserve">1 ton </t>
  </si>
  <si>
    <t>water consumption</t>
  </si>
  <si>
    <t>Ammonium</t>
  </si>
  <si>
    <t>Escobar et al. (2022)</t>
  </si>
  <si>
    <t>Senegal</t>
  </si>
  <si>
    <t>Freshwater ecotoxicity</t>
  </si>
  <si>
    <t>Ecosystem quality</t>
  </si>
  <si>
    <t>Mungkung et al. (2019)</t>
  </si>
  <si>
    <t>Thailand</t>
  </si>
  <si>
    <t>Freshwater eutrophication</t>
  </si>
  <si>
    <t>Yodkhum et al. (2018)</t>
  </si>
  <si>
    <t>Land use</t>
  </si>
  <si>
    <t>Nitrogen</t>
  </si>
  <si>
    <t>Marine ecotoxity</t>
  </si>
  <si>
    <t>Marine eutrophication</t>
  </si>
  <si>
    <t>Ozone formation, terrestrial ecosystems</t>
  </si>
  <si>
    <t>Terrestrial acidification</t>
  </si>
  <si>
    <t>Terrestrial ecotoxicity</t>
  </si>
  <si>
    <t>Kg 104-DCB</t>
  </si>
  <si>
    <t>Global warming</t>
  </si>
  <si>
    <t>Climate change</t>
  </si>
  <si>
    <t>Grennhouse gases emissions in conventional and organic systems of farming</t>
  </si>
  <si>
    <t>CO2 equivalent</t>
  </si>
  <si>
    <t>GHG's</t>
  </si>
  <si>
    <t>Convetional</t>
  </si>
  <si>
    <t>Calculation method of GHG's</t>
  </si>
  <si>
    <t>IPCC, 2006</t>
  </si>
  <si>
    <t>Estimativas</t>
  </si>
  <si>
    <t>seeds</t>
  </si>
  <si>
    <t>irrigação</t>
  </si>
  <si>
    <t>Arroz Produzido</t>
  </si>
  <si>
    <t>convencional</t>
  </si>
  <si>
    <t>Kg CO2 eq/ ha</t>
  </si>
  <si>
    <t>A superfície cultivada com arroz ocupava, no final dos anos 80, mais de 32 mil hectares, ocupando atualmente cerca de 29 mil hectares. A produ_x0002_ção nacional concentra-se nos vales do Sorraia e Tejo (50%), Sado (30%) e Mondego (20%). No que respeita à produtividade verifica-se uma relativa estabilidade desde 1995, aproximadamente nos 6.000 kg/ha.</t>
  </si>
  <si>
    <t>Modo de produção extensiva</t>
  </si>
  <si>
    <t>Avaliação de ciclo de vida da produção de carne de suíno branco biológico em pastoreio.pdf (utl.pt)</t>
  </si>
  <si>
    <t>Environmental life-cycle assessment in production of pork products</t>
  </si>
  <si>
    <t>Life cycle assessment of pigmeat production: Portuguese case study and proposal of improvement options</t>
  </si>
  <si>
    <t>Subsystem 1 – Pig housing farm</t>
  </si>
  <si>
    <t>Subsystem 2 – Slaughterhouse</t>
  </si>
  <si>
    <t>Table - PMC (nih.gov)</t>
  </si>
  <si>
    <t>Subsystem 3 – Meat processing plant</t>
  </si>
  <si>
    <t>Subsystem 4 - Waste treatment</t>
  </si>
  <si>
    <t>Sara González-García, Sara Belo, Ana Cláudia Dias, João Várzea Rodrigues, Rosário Roberto da Costa, António Ferreira, Luís Pinto de Andrade, Luis Arroja</t>
  </si>
  <si>
    <t>[Kg]</t>
  </si>
  <si>
    <t>Inputs- Materials</t>
  </si>
  <si>
    <t>L/kg f.u</t>
  </si>
  <si>
    <t>cleaning agents (alkaline)</t>
  </si>
  <si>
    <t>g/kg f.u</t>
  </si>
  <si>
    <t>cleaning agents (acid)</t>
  </si>
  <si>
    <t>Feed</t>
  </si>
  <si>
    <t>kg/kg f.u</t>
  </si>
  <si>
    <t>Eletric energy</t>
  </si>
  <si>
    <t>MJ/Kg f.u</t>
  </si>
  <si>
    <t>Thermal energy</t>
  </si>
  <si>
    <t>Packaging materials</t>
  </si>
  <si>
    <t>HDPE bags</t>
  </si>
  <si>
    <t>PVC bags</t>
  </si>
  <si>
    <t>waste- confiscate</t>
  </si>
  <si>
    <t>waste- manure/slurry</t>
  </si>
  <si>
    <t>m3/kg f.u</t>
  </si>
  <si>
    <t>waste water</t>
  </si>
  <si>
    <t>Impacts</t>
  </si>
  <si>
    <t>AP</t>
  </si>
  <si>
    <t>Kg SO2 eq *10^-3</t>
  </si>
  <si>
    <t>EP</t>
  </si>
  <si>
    <t>Kg PO4 eq</t>
  </si>
  <si>
    <t>ODP</t>
  </si>
  <si>
    <t>Kg R11 *10^-5</t>
  </si>
  <si>
    <t>PP</t>
  </si>
  <si>
    <t>Kg C2H4*10^-4</t>
  </si>
  <si>
    <t>HP</t>
  </si>
  <si>
    <t>Kg DCB</t>
  </si>
  <si>
    <t>The pig production chain has been divided in three main subsystems: crop and feed production 128 (S1), animal production (S2) and slaughtering (S3). Animal production generally involves four 129 phases or stages: the breeding phase (mating and gestating), the maternity phase (farrowing 130 and lactating), the rearing phase and the finishing phase</t>
  </si>
  <si>
    <t>2,96 kg 𝐶𝑂2𝑒𝑞/kg</t>
  </si>
  <si>
    <t>Thus, the following impact categories have been considered for assessment in this study: climate change  (CC), fossil fuel depletion (FD), freshwater eutrophication (FEU), marine eutrophication (MEU), ozone depletion (OD), photochemical oxidant formation (POF), terrestrial acidification (TA) and water depletion (WD). Moreover, toxicity-related impact categories (Basset-Mens and van der Werf, 2005; Cederberg and Flysjö, 2004) have also been considered such as freshwater ecotoxicity (FE), human toxicity (HT), marine ecotoxicity (ME), and terrestrial ecotoxicity (TE).</t>
  </si>
  <si>
    <t>The pigmeat production system under study in an intensive regime involves a total of 5.28 m2 ·a per kg carcass weight (4.12 m2 440 ·a per kg live weight)</t>
  </si>
  <si>
    <t>(Giudice, 2013)</t>
  </si>
  <si>
    <t>ENVIRONMENTAL ASSESSMENT OF THE CITRUS FRUIT PRODUCTION IN SICILY USING LCA</t>
  </si>
  <si>
    <t>Italian journal of Food Science</t>
  </si>
  <si>
    <t xml:space="preserve">Functional Unit: </t>
  </si>
  <si>
    <t>p</t>
  </si>
  <si>
    <t>Co-product:</t>
  </si>
  <si>
    <t xml:space="preserve"> Oranges, Non-edible part to be composted</t>
  </si>
  <si>
    <t>Dados de entrada ciclo de vida do pomar de laranjas</t>
  </si>
  <si>
    <t>Functional Unit: 1 p (1 p corresponde a uma produção de laranjas no tempo de vida do pomar (50 anos) igual a 13,500 ton)</t>
  </si>
  <si>
    <t>Co-product: 420 ton (Folhas da fase de fim de vida do pomar para serem compostadas)</t>
  </si>
  <si>
    <r>
      <rPr>
        <b/>
        <sz val="14"/>
        <color rgb="FF000000"/>
        <rFont val="Calibri"/>
        <scheme val="minor"/>
      </rPr>
      <t xml:space="preserve">Inputs na </t>
    </r>
    <r>
      <rPr>
        <b/>
        <sz val="14"/>
        <color rgb="FF00B050"/>
        <rFont val="Calibri"/>
        <scheme val="minor"/>
      </rPr>
      <t>Plantação do Laranjal</t>
    </r>
  </si>
  <si>
    <t>Comentários</t>
  </si>
  <si>
    <t>Ocupação, cultivo permanente, frutífera, extensiva</t>
  </si>
  <si>
    <t>ha^yr</t>
  </si>
  <si>
    <t>Transformação, para cultura permanente, frutífera, extensiva</t>
  </si>
  <si>
    <t>Transformação, de pasto e prado</t>
  </si>
  <si>
    <t>Água, processo, origem natural não especificada</t>
  </si>
  <si>
    <t>Requisitos de água para todos os tratamentos de fertilização e pesticidas no tempo de vida do pomar</t>
  </si>
  <si>
    <r>
      <rPr>
        <b/>
        <sz val="11"/>
        <color rgb="FF000000"/>
        <rFont val="Calibri"/>
      </rPr>
      <t xml:space="preserve">Matérias-primas   </t>
    </r>
    <r>
      <rPr>
        <strike/>
        <sz val="11"/>
        <color rgb="FF000000"/>
        <rFont val="Calibri"/>
      </rPr>
      <t xml:space="preserve"> e combustíveis fósseis</t>
    </r>
  </si>
  <si>
    <t>Fertilizante N</t>
  </si>
  <si>
    <t>Fertilizante P2O2</t>
  </si>
  <si>
    <t>Fertilizante K2O</t>
  </si>
  <si>
    <t>Pesticidas, não especificados no armazém regional</t>
  </si>
  <si>
    <r>
      <rPr>
        <b/>
        <sz val="11"/>
        <color rgb="FF000000"/>
        <rFont val="Calibri"/>
      </rPr>
      <t xml:space="preserve">Electricidade e Energia térmica </t>
    </r>
    <r>
      <rPr>
        <b/>
        <sz val="11"/>
        <color rgb="FFFF0000"/>
        <rFont val="Calibri"/>
      </rPr>
      <t>(!?)</t>
    </r>
  </si>
  <si>
    <t>A fase de plantio ocorre após cinco anos no viveiro, O transporte de plantas do viveiro para o pomar não foi considerada, pois a fase do viveiro não foi incluída nos limites do sistema,</t>
  </si>
  <si>
    <t>A quantidade de água usada para irrigação foi considerada e é igual a 2 484 000 m3 no tempo de vida do pomar de citros</t>
  </si>
  <si>
    <t>Tratamentos com Pesticidas</t>
  </si>
  <si>
    <t>Transporte</t>
  </si>
  <si>
    <t>kton*km</t>
  </si>
  <si>
    <t>Transporte das matérias-primas para os tratamentos de manutenção do pomar (distância= 10 km)</t>
  </si>
  <si>
    <t>Serra elétrica</t>
  </si>
  <si>
    <t>Fase de poda de árvore, Não são considerados tratamentos de resíduos, pois neste caso as folhas são queimadas no local nas bordas dos pomares de citros; emissões não calculáveis de dióxido de carbono no ar,</t>
  </si>
  <si>
    <t>Gasolina sem chumbo na refinaria</t>
  </si>
  <si>
    <t>Consumo de gasolina sem chumbo usada na máquina da poda</t>
  </si>
  <si>
    <t>Diesel na Refinaria</t>
  </si>
  <si>
    <t>Quantidade de diesel para tesouras pneumáticas e para fresagem</t>
  </si>
  <si>
    <t>Oleo lubrificante</t>
  </si>
  <si>
    <t>Óleo lubrificante para tesouras pneumáticas</t>
  </si>
  <si>
    <t>Serraria</t>
  </si>
  <si>
    <t>É utilizado para o esmagamento de galhos após a fase de poda</t>
  </si>
  <si>
    <t>Transporte, camião 16-32 ton</t>
  </si>
  <si>
    <t>ton*km</t>
  </si>
  <si>
    <t>Resíduo especial</t>
  </si>
  <si>
    <t>EURO 3</t>
  </si>
  <si>
    <t>Pomar em fim de vida</t>
  </si>
  <si>
    <r>
      <rPr>
        <b/>
        <sz val="12"/>
        <color rgb="FF000000"/>
        <rFont val="Calibri"/>
        <scheme val="minor"/>
      </rPr>
      <t xml:space="preserve">Resíduos na </t>
    </r>
    <r>
      <rPr>
        <b/>
        <sz val="12"/>
        <color rgb="FF00B050"/>
        <rFont val="Calibri"/>
        <scheme val="minor"/>
      </rPr>
      <t>Plantação do Laranja</t>
    </r>
    <r>
      <rPr>
        <b/>
        <sz val="12"/>
        <color rgb="FF000000"/>
        <rFont val="Calibri"/>
        <scheme val="minor"/>
      </rPr>
      <t>l</t>
    </r>
  </si>
  <si>
    <t>Emissões para a àgua</t>
  </si>
  <si>
    <t>Azoto (total)</t>
  </si>
  <si>
    <t>Fósforo (Total)</t>
  </si>
  <si>
    <t>Potássio</t>
  </si>
  <si>
    <t>Tratamento de Resíduos</t>
  </si>
  <si>
    <t>Descarte, resíduos perigosos, 25% de água, para incineração de resíduos perigosos</t>
  </si>
  <si>
    <t>Resíduos perigosos da fase de cultivo</t>
  </si>
  <si>
    <r>
      <rPr>
        <b/>
        <sz val="14"/>
        <color rgb="FF000000"/>
        <rFont val="Calibri"/>
      </rPr>
      <t xml:space="preserve">Inputs para o </t>
    </r>
    <r>
      <rPr>
        <b/>
        <sz val="14"/>
        <color rgb="FFFF0000"/>
        <rFont val="Calibri"/>
      </rPr>
      <t>Fim da vida útil</t>
    </r>
    <r>
      <rPr>
        <b/>
        <sz val="14"/>
        <color rgb="FF000000"/>
        <rFont val="Calibri"/>
      </rPr>
      <t xml:space="preserve"> </t>
    </r>
    <r>
      <rPr>
        <b/>
        <sz val="14"/>
        <color rgb="FFFF0000"/>
        <rFont val="Calibri"/>
      </rPr>
      <t>do pomar</t>
    </r>
    <r>
      <rPr>
        <b/>
        <sz val="14"/>
        <color rgb="FF000000"/>
        <rFont val="Calibri"/>
      </rPr>
      <t xml:space="preserve"> de laranjas </t>
    </r>
  </si>
  <si>
    <t>Unidade Funcional</t>
  </si>
  <si>
    <t>Esta fase ocorre aos 50 anos de vida do pomar de citrinos e é composta por três tratamentos: poda, erradicação e corte dos troncos,</t>
  </si>
  <si>
    <t>Produto evitado</t>
  </si>
  <si>
    <t>Toras obtidas pelo fim de vida do pomar de citros à disposição para todos os usos possíveis</t>
  </si>
  <si>
    <t>Serra Eléctrica</t>
  </si>
  <si>
    <t>Para a poda e corte de troncos</t>
  </si>
  <si>
    <t>Escavação, escavadora hidráulica</t>
  </si>
  <si>
    <t>Erradicação de árvores</t>
  </si>
  <si>
    <t>Composto vegetal</t>
  </si>
  <si>
    <t>Compostagem de folhas</t>
  </si>
  <si>
    <r>
      <rPr>
        <b/>
        <sz val="14"/>
        <color rgb="FF000000"/>
        <rFont val="Calibri"/>
      </rPr>
      <t xml:space="preserve">Inputs para </t>
    </r>
    <r>
      <rPr>
        <b/>
        <sz val="14"/>
        <color rgb="FFFFC000"/>
        <rFont val="Calibri"/>
      </rPr>
      <t>Ciclo de vida das laranjas no armazém</t>
    </r>
    <r>
      <rPr>
        <b/>
        <sz val="14"/>
        <color rgb="FF00B050"/>
        <rFont val="Calibri"/>
      </rPr>
      <t xml:space="preserve"> </t>
    </r>
  </si>
  <si>
    <t>1 p está associado à quantidade de laranjas processadas durante o tempo de vida do armazém (30 anos); é igual a cerca de 144,000 toneladas,
Todos os dados de entrada, listados na presente tabela, foram referidos ao ciclo de vida do armazém e assim multiplicados por 30 anos,</t>
  </si>
  <si>
    <t>Co-produto</t>
  </si>
  <si>
    <t>Laranjas de baixa qualidade que não podem seguir o processo, enviadas para compostagem</t>
  </si>
  <si>
    <t>Input (Recursos)</t>
  </si>
  <si>
    <t>Requisitos de água da empresa</t>
  </si>
  <si>
    <t>Input (matérias-primas e combustíveis fósseis)</t>
  </si>
  <si>
    <t>Propano/Butano na refinaria</t>
  </si>
  <si>
    <t>Granulado de polipropileno na fábrica</t>
  </si>
  <si>
    <t>sacos para embalar as laranjas</t>
  </si>
  <si>
    <t>cartão de celulose</t>
  </si>
  <si>
    <t>Rótulos de papelão combinados com os sacos para embalar as laranjas</t>
  </si>
  <si>
    <t>cartão de embalagem</t>
  </si>
  <si>
    <t>caixas de cartão</t>
  </si>
  <si>
    <t>Input (Energia eléctrica e térmica)</t>
  </si>
  <si>
    <t>Uso de eletricidade HV em I + importação</t>
  </si>
  <si>
    <t>MWh</t>
  </si>
  <si>
    <t>Todos os anos, os requisitos de energia elétrica da empresa são iguais a 68,000 kWh</t>
  </si>
  <si>
    <t>Correia transportadora, na fábrica</t>
  </si>
  <si>
    <t>m</t>
  </si>
  <si>
    <t>Ciclo de vida das plataformas de madeira (paletes!?)</t>
  </si>
  <si>
    <t>Impressão a cores, offset, 47,5% de solvente (na fábrica)</t>
  </si>
  <si>
    <t>Camião tanque</t>
  </si>
  <si>
    <t>Transporte de propano (distância = 35 km)</t>
  </si>
  <si>
    <t>Transporte, camião 3,5-7,5t, EURO4</t>
  </si>
  <si>
    <t>Transporte das embalagens plásticas das laranjas (distância = 35 km)</t>
  </si>
  <si>
    <t>Transporte das caixas de cartão das laranjas (distância = 2 km)</t>
  </si>
  <si>
    <t>Transporte de etiquetas de papelão</t>
  </si>
  <si>
    <t>plataformas de madeira (paletes)</t>
  </si>
  <si>
    <t>Ciclo de vida da caixa de plástico</t>
  </si>
  <si>
    <t>1 p representa uma caixa em seu ciclo de vida, Todos os anos, 515893 caixas de plástico são usadas na fase de processamento; a vida útil de cada caixa é igual a 8 anos, o que significa que em 30 anos são utilizadas 1934598,75 unidades,</t>
  </si>
  <si>
    <t>Transporte, camião 7,5-16t, EURO4</t>
  </si>
  <si>
    <t>kt*km</t>
  </si>
  <si>
    <t>Transporte das caixas plásticas utilizadas em todo o ciclo de vida do sistema de processamento</t>
  </si>
  <si>
    <t>Substituição da correia transportadora após 15 anos de vida</t>
  </si>
  <si>
    <t>composto na fábrica</t>
  </si>
  <si>
    <t>Laranjas de baixa qualidade sendo tratadas numa fábrica de compostagem industrial</t>
  </si>
  <si>
    <t>Edíficio, vários andares</t>
  </si>
  <si>
    <t>Galpão onde ocorre o processamento das laranjas, O valor físico refere-se ao cimento usado na fase de construção do galpão,</t>
  </si>
  <si>
    <t>Wastes _ Tratamento de Resíduos</t>
  </si>
  <si>
    <t>Aterro sanitário</t>
  </si>
  <si>
    <t>Etiquetas de cartão</t>
  </si>
  <si>
    <t>Reciclagem do Polipropileno</t>
  </si>
  <si>
    <t>Sacos plástico embalagem de  laranjas</t>
  </si>
  <si>
    <t>Reciclagem de Madeira</t>
  </si>
  <si>
    <t>Paletes</t>
  </si>
  <si>
    <t>(Wei Xu, 2012)</t>
  </si>
  <si>
    <t>doi.org/10.13073/0015-7473-62.5.365</t>
  </si>
  <si>
    <t>Wood Pulp from a Eucalyptus Plantation</t>
  </si>
  <si>
    <t>Southern China</t>
  </si>
  <si>
    <t>Including the forest subsystem and the pulp mill subsystem</t>
  </si>
  <si>
    <r>
      <rPr>
        <b/>
        <sz val="11"/>
        <color rgb="FF000000"/>
        <rFont val="Calibri"/>
        <scheme val="minor"/>
      </rPr>
      <t>Functional unit: I</t>
    </r>
    <r>
      <rPr>
        <sz val="11"/>
        <color rgb="FF000000"/>
        <rFont val="Calibri"/>
        <scheme val="minor"/>
      </rPr>
      <t>n this study, the function of the examined system was to deliver Kraft eucalyptus pulp from eucalyptus plantations to domestic markets in China</t>
    </r>
  </si>
  <si>
    <t xml:space="preserve"> 1 air-dried ton (ADT) of BEKP with 10 percent moisture content ready at the pulp mill gate was defined as the functional unit,</t>
  </si>
  <si>
    <t xml:space="preserve">System boundary: ‘‘cradle-to-gate’’ perspective, was restricted to the selected life-cycle stages of raw material extraction from the eucalyptus plantation, passing through logistics activities and pulp manufacture processes, to the final products of market pulp ready at the pulp mill gate, </t>
  </si>
  <si>
    <t>The specification and quantification of a full range of inputs and outputs for each single unit process were carried out with the software Umberto v5,5</t>
  </si>
  <si>
    <t>Inputs na Plantação por m3 de madeira colhida</t>
  </si>
  <si>
    <t>Raw Materials</t>
  </si>
  <si>
    <t>Mudas de eucalipto</t>
  </si>
  <si>
    <t>pés</t>
  </si>
  <si>
    <t>Fertilizantes</t>
  </si>
  <si>
    <t>Ureia (46% N)</t>
  </si>
  <si>
    <t>calcium-magnesium-phosphorus (CMP) (20% P2O5)</t>
  </si>
  <si>
    <t>Cloreto de Potassium (60% K2O)</t>
  </si>
  <si>
    <t>Combustíveis fósseis</t>
  </si>
  <si>
    <t>Gasolina</t>
  </si>
  <si>
    <r>
      <rPr>
        <sz val="11"/>
        <color rgb="FF000000"/>
        <rFont val="Calibri"/>
        <scheme val="minor"/>
      </rPr>
      <t xml:space="preserve">Resumo dos dados do Inventario da fábrica de celulose estudada </t>
    </r>
    <r>
      <rPr>
        <b/>
        <sz val="11"/>
        <color rgb="FF000000"/>
        <rFont val="Calibri"/>
        <scheme val="minor"/>
      </rPr>
      <t>por tonelada de celulose seca ao ar</t>
    </r>
  </si>
  <si>
    <r>
      <rPr>
        <b/>
        <sz val="11"/>
        <color rgb="FF000000"/>
        <rFont val="Calibri"/>
        <scheme val="minor"/>
      </rPr>
      <t>Inputs (mais de 1% em massa da unidade funcional de</t>
    </r>
    <r>
      <rPr>
        <b/>
        <sz val="11"/>
        <color rgb="FFFF0000"/>
        <rFont val="Calibri"/>
        <scheme val="minor"/>
      </rPr>
      <t xml:space="preserve"> 1 tonelada de pasta de papel celulose)</t>
    </r>
  </si>
  <si>
    <t>Materiais de fibra de madeira</t>
  </si>
  <si>
    <t>Madeira de Eucalipto para trituração</t>
  </si>
  <si>
    <t>Químicos</t>
  </si>
  <si>
    <t>CaO</t>
  </si>
  <si>
    <t>CH3OH</t>
  </si>
  <si>
    <t>H2O2</t>
  </si>
  <si>
    <t>H2SO4</t>
  </si>
  <si>
    <t>NaClO3</t>
  </si>
  <si>
    <t>NaOH</t>
  </si>
  <si>
    <t>NaOH recuperado na unidade de recuperação química da fábrica</t>
  </si>
  <si>
    <t>Energia e Combustíveis Fosseis</t>
  </si>
  <si>
    <t>Bunker Oil</t>
  </si>
  <si>
    <t>Carvão</t>
  </si>
  <si>
    <t>Electricidade da Rede Nacional</t>
  </si>
  <si>
    <t>Energia gerada no local (Calor e Energia gerada na fábrica)</t>
  </si>
  <si>
    <t>Vapor usado internamente</t>
  </si>
  <si>
    <t>GJ</t>
  </si>
  <si>
    <t>Outros materiais</t>
  </si>
  <si>
    <t>Pasta de papel (pronta para o mercado)</t>
  </si>
  <si>
    <t>Electricidade Vendida à Rede Nacional</t>
  </si>
  <si>
    <t>Emissões para o Ar</t>
  </si>
  <si>
    <t>TRS (total reduced sulfur)</t>
  </si>
  <si>
    <t>Desperdício de Calor</t>
  </si>
  <si>
    <t>Emissões para a Água</t>
  </si>
  <si>
    <t>COD</t>
  </si>
  <si>
    <t>BOD</t>
  </si>
  <si>
    <t>Total n</t>
  </si>
  <si>
    <t>Total P</t>
  </si>
  <si>
    <t>TSS</t>
  </si>
  <si>
    <t>Cinzas e Pó</t>
  </si>
  <si>
    <t>Lama</t>
  </si>
  <si>
    <t>(Santos etal,, 2018)</t>
  </si>
  <si>
    <t>doi,org/10,1016/B978-0-444-64235-6,50142-X</t>
  </si>
  <si>
    <t>This company produces and sells to the domestic and European markets three products: pulp, UWF (uncoated wood free) printing and writing paper, and tissue paper</t>
  </si>
  <si>
    <t>LC inventory</t>
  </si>
  <si>
    <r>
      <rPr>
        <sz val="11"/>
        <color rgb="FF000000"/>
        <rFont val="Calibri"/>
        <scheme val="minor"/>
      </rPr>
      <t>The</t>
    </r>
    <r>
      <rPr>
        <b/>
        <sz val="11"/>
        <color rgb="FF000000"/>
        <rFont val="Calibri"/>
        <scheme val="minor"/>
      </rPr>
      <t xml:space="preserve"> results of the LCI step</t>
    </r>
    <r>
      <rPr>
        <sz val="11"/>
        <color rgb="FF000000"/>
        <rFont val="Calibri"/>
        <scheme val="minor"/>
      </rPr>
      <t xml:space="preserve"> considering the functional unit and system boundary defined, the flow between different entities of the supply chain </t>
    </r>
    <r>
      <rPr>
        <b/>
        <sz val="11"/>
        <color rgb="FF000000"/>
        <rFont val="Calibri"/>
        <scheme val="minor"/>
      </rPr>
      <t>and a paper recycling rate of 72%</t>
    </r>
  </si>
  <si>
    <t>Pasta e 2 tipos de Papel</t>
  </si>
  <si>
    <t>Life Cycle stage</t>
  </si>
  <si>
    <t>Quantidade !?</t>
  </si>
  <si>
    <t>SimaPro Process</t>
  </si>
  <si>
    <t>Produção de Pasta de papel (pulp)</t>
  </si>
  <si>
    <t>Sulfate pulp {GLO} | market for</t>
  </si>
  <si>
    <t>Produção de Papel UWF</t>
  </si>
  <si>
    <t>Paper, woodfree, uncoated {RoW}| paper production, woodfree, uncoated, at integrated mill</t>
  </si>
  <si>
    <t>Produção Lenços de Papel</t>
  </si>
  <si>
    <t xml:space="preserve">Tissue paper {GLO}| production, virgin | Conseq, U </t>
  </si>
  <si>
    <t>Transporte Rodoviário</t>
  </si>
  <si>
    <t>t,km</t>
  </si>
  <si>
    <t>Transport, freight, lorry, unspecified {RER}| transport, freight, lorry, all sizes, EURO5 to generic market for</t>
  </si>
  <si>
    <t>Transporte Ferroviário</t>
  </si>
  <si>
    <t>Transport, freight train {Europe without Switzerland}| market for</t>
  </si>
  <si>
    <t>Transporte Marítimo</t>
  </si>
  <si>
    <t xml:space="preserve">Transport, freight, sea, transoceanic ship {GLO}| processing </t>
  </si>
  <si>
    <t>Descarte de Produtos</t>
  </si>
  <si>
    <t>Paper (waste treatment) {GLO}| recycling of paper | Conseq, U</t>
  </si>
  <si>
    <t>Waste graphical paper {Europe without Switzerland}| treatment of waste graphical paper, sanitary landfill | Conseq, U</t>
  </si>
  <si>
    <t>Waste paper, sorted {RER}| tissue paper production | Conseq, U</t>
  </si>
  <si>
    <t>The functional unit selected was 1 hectare of trees harvest which allows the production of approximately 25 t of pulp, 27 t of UWF printing and writing paper, and 716 kg of tissue paper,</t>
  </si>
  <si>
    <t>(Lopes et al,, 2003)</t>
  </si>
  <si>
    <t>doi,org/10,1016/S0959-6526(02)00005-7</t>
  </si>
  <si>
    <t xml:space="preserve"> FU was defined as 1 tonne of white printing and writing paper, with a standard weight of 80 g/m2, produced from Portuguese Eucalyptus globulus kraft pulp and consumed in Portugal,</t>
  </si>
  <si>
    <t>Não tem dados de Inventario</t>
  </si>
  <si>
    <t>printing and writing paper = office paper</t>
  </si>
  <si>
    <t>(Manda et al, 2012)</t>
  </si>
  <si>
    <t>http://dx,doi,org/10,1016/j,scitotenv,2012,09,022</t>
  </si>
  <si>
    <t>Innovations in papermaking: An LCA of printing and writing paper from conventional and high yield pulp</t>
  </si>
  <si>
    <r>
      <rPr>
        <sz val="11"/>
        <color rgb="FF000000"/>
        <rFont val="Calibri"/>
        <scheme val="minor"/>
      </rPr>
      <t xml:space="preserve">The </t>
    </r>
    <r>
      <rPr>
        <b/>
        <sz val="11"/>
        <color rgb="FF000000"/>
        <rFont val="Calibri"/>
        <scheme val="minor"/>
      </rPr>
      <t xml:space="preserve">functional unit </t>
    </r>
    <r>
      <rPr>
        <sz val="11"/>
        <color rgb="FF000000"/>
        <rFont val="Calibri"/>
        <scheme val="minor"/>
      </rPr>
      <t>of this study is</t>
    </r>
    <r>
      <rPr>
        <b/>
        <sz val="11"/>
        <color rgb="FF000000"/>
        <rFont val="Calibri"/>
        <scheme val="minor"/>
      </rPr>
      <t xml:space="preserve"> 1 ton </t>
    </r>
    <r>
      <rPr>
        <sz val="11"/>
        <color rgb="FF000000"/>
        <rFont val="Calibri"/>
        <scheme val="minor"/>
      </rPr>
      <t xml:space="preserve">of printing and writing paper, also called </t>
    </r>
    <r>
      <rPr>
        <b/>
        <sz val="11"/>
        <color rgb="FF000000"/>
        <rFont val="Calibri"/>
        <scheme val="minor"/>
      </rPr>
      <t>office paper,</t>
    </r>
    <r>
      <rPr>
        <sz val="11"/>
        <color rgb="FF000000"/>
        <rFont val="Calibri"/>
        <scheme val="minor"/>
      </rPr>
      <t xml:space="preserve"> produced and used in EU</t>
    </r>
  </si>
  <si>
    <r>
      <rPr>
        <sz val="11"/>
        <color rgb="FF000000"/>
        <rFont val="Calibri"/>
        <scheme val="minor"/>
      </rPr>
      <t xml:space="preserve">Espessura do produto final = </t>
    </r>
    <r>
      <rPr>
        <b/>
        <sz val="11"/>
        <color rgb="FF000000"/>
        <rFont val="Calibri"/>
        <scheme val="minor"/>
      </rPr>
      <t>80 g/m2</t>
    </r>
  </si>
  <si>
    <t>Hischier, 2005 (Developments in Wood and Packaging Materials Life Cycle Inventories)</t>
  </si>
  <si>
    <t>DOI: http://dx,doi,org/10,1065/lca2004,11,181,6</t>
  </si>
  <si>
    <t>Established as a European average dataset, the packaging paper dataset in ecoinvent contains the following production step:</t>
  </si>
  <si>
    <t xml:space="preserve">Wood handling process, </t>
  </si>
  <si>
    <t>plant chemical pulping,</t>
  </si>
  <si>
    <t xml:space="preserve">paper production on the paper machine, </t>
  </si>
  <si>
    <t xml:space="preserve">on-site energy production aand the </t>
  </si>
  <si>
    <t xml:space="preserve"> chemical recovery cycles</t>
  </si>
  <si>
    <t>internal waste water treatment</t>
  </si>
  <si>
    <t>(Galiano, 2006)</t>
  </si>
  <si>
    <t>INVENTÁRIO DO CICLO DE VIDA DO PAPEL OFFSET PRODUZIDO NO BRASIL</t>
  </si>
  <si>
    <t>Tese Mestrado_Brasil</t>
  </si>
  <si>
    <r>
      <rPr>
        <sz val="11"/>
        <color rgb="FF000000"/>
        <rFont val="Calibri"/>
      </rPr>
      <t xml:space="preserve">Espessura do produto final = </t>
    </r>
    <r>
      <rPr>
        <b/>
        <sz val="11"/>
        <color rgb="FF0070C0"/>
        <rFont val="Calibri"/>
      </rPr>
      <t>75 g/m2</t>
    </r>
  </si>
  <si>
    <r>
      <rPr>
        <sz val="11"/>
        <color rgb="FF000000"/>
        <rFont val="Calibri"/>
      </rPr>
      <t xml:space="preserve">Sub-sistema: </t>
    </r>
    <r>
      <rPr>
        <b/>
        <sz val="12"/>
        <color rgb="FF000000"/>
        <rFont val="Calibri"/>
      </rPr>
      <t>Produção Florestal</t>
    </r>
  </si>
  <si>
    <r>
      <rPr>
        <b/>
        <sz val="12"/>
        <color rgb="FF000000"/>
        <rFont val="Calibri"/>
        <scheme val="minor"/>
      </rPr>
      <t xml:space="preserve">Unidade Funcional : </t>
    </r>
    <r>
      <rPr>
        <sz val="12"/>
        <color rgb="FF000000"/>
        <rFont val="Calibri"/>
        <scheme val="minor"/>
      </rPr>
      <t>Produção de</t>
    </r>
    <r>
      <rPr>
        <b/>
        <sz val="12"/>
        <color rgb="FF000000"/>
        <rFont val="Calibri"/>
        <scheme val="minor"/>
      </rPr>
      <t xml:space="preserve"> 1 tonelada</t>
    </r>
    <r>
      <rPr>
        <sz val="12"/>
        <color rgb="FF000000"/>
        <rFont val="Calibri"/>
        <scheme val="minor"/>
      </rPr>
      <t xml:space="preserve"> de</t>
    </r>
    <r>
      <rPr>
        <b/>
        <sz val="12"/>
        <color rgb="FF000000"/>
        <rFont val="Calibri"/>
        <scheme val="minor"/>
      </rPr>
      <t xml:space="preserve"> papel</t>
    </r>
    <r>
      <rPr>
        <b/>
        <i/>
        <sz val="12"/>
        <color rgb="FF000000"/>
        <rFont val="Calibri"/>
        <scheme val="minor"/>
      </rPr>
      <t xml:space="preserve"> offset</t>
    </r>
  </si>
  <si>
    <t>Viveiro</t>
  </si>
  <si>
    <t>Agua para Irrigação</t>
  </si>
  <si>
    <t>L (90dias)</t>
  </si>
  <si>
    <t>dado primário</t>
  </si>
  <si>
    <t>Energia requerida</t>
  </si>
  <si>
    <t>kJ</t>
  </si>
  <si>
    <t>Defensivos (fitossanitários!?)</t>
  </si>
  <si>
    <t>Mudas/Sementes</t>
  </si>
  <si>
    <t>mudas</t>
  </si>
  <si>
    <t>Área  requerida</t>
  </si>
  <si>
    <t>dado calculado</t>
  </si>
  <si>
    <t>árvores</t>
  </si>
  <si>
    <t>Emissões Atmosféricas</t>
  </si>
  <si>
    <t>CO2 (fóssil)</t>
  </si>
  <si>
    <t>Plantio</t>
  </si>
  <si>
    <t>Plantas</t>
  </si>
  <si>
    <t>plantas</t>
  </si>
  <si>
    <t>L (3 irrigações/ciclo - 7anos)</t>
  </si>
  <si>
    <t>Calcário</t>
  </si>
  <si>
    <t>kg/ciclo (7 anos)</t>
  </si>
  <si>
    <t>Fertilizante (como NPK)</t>
  </si>
  <si>
    <t>Herbicidas</t>
  </si>
  <si>
    <t>Formicidas</t>
  </si>
  <si>
    <t>CO2 fixado</t>
  </si>
  <si>
    <t>Área Requerida</t>
  </si>
  <si>
    <t>preservação e outras actividades</t>
  </si>
  <si>
    <t>Wastes</t>
  </si>
  <si>
    <t>Corte</t>
  </si>
  <si>
    <t>Madeira para a Industria de papel e Celulose</t>
  </si>
  <si>
    <t>CO2 (renovável)</t>
  </si>
  <si>
    <r>
      <t>Transporte da Madeira da Floresta à industria de papel</t>
    </r>
    <r>
      <rPr>
        <b/>
        <sz val="12"/>
        <color rgb="FFFFC000"/>
        <rFont val="Calibri"/>
      </rPr>
      <t xml:space="preserve"> (relativo a 7000t.km)</t>
    </r>
  </si>
  <si>
    <t>CO</t>
  </si>
  <si>
    <t>HC (hidrocarbonetos)</t>
  </si>
  <si>
    <t>dado estimado</t>
  </si>
  <si>
    <t>NOx (como NO2)</t>
  </si>
  <si>
    <t>Material particulado</t>
  </si>
  <si>
    <t>SOx (como SO2)</t>
  </si>
  <si>
    <t>Emissões não materiais</t>
  </si>
  <si>
    <t>Calor perdido para o Ar</t>
  </si>
  <si>
    <t>TJ</t>
  </si>
  <si>
    <r>
      <rPr>
        <sz val="11"/>
        <color rgb="FF000000"/>
        <rFont val="Calibri"/>
      </rPr>
      <t xml:space="preserve">Sub-sistema: </t>
    </r>
    <r>
      <rPr>
        <b/>
        <sz val="12"/>
        <color rgb="FF000000"/>
        <rFont val="Calibri"/>
      </rPr>
      <t>Extracção e Branqueamento da Celulose</t>
    </r>
  </si>
  <si>
    <t>Extracção e Branqueamento da celulose (pasta de papel)</t>
  </si>
  <si>
    <r>
      <rPr>
        <b/>
        <sz val="11"/>
        <color rgb="FF000000"/>
        <rFont val="Calibri"/>
      </rPr>
      <t>Madeira ODMT</t>
    </r>
    <r>
      <rPr>
        <sz val="11"/>
        <color rgb="FF000000"/>
        <rFont val="Calibri"/>
      </rPr>
      <t xml:space="preserve"> (</t>
    </r>
    <r>
      <rPr>
        <b/>
        <sz val="11"/>
        <color rgb="FF000000"/>
        <rFont val="Calibri"/>
      </rPr>
      <t>O</t>
    </r>
    <r>
      <rPr>
        <sz val="11"/>
        <color rgb="FF000000"/>
        <rFont val="Calibri"/>
      </rPr>
      <t>ven-</t>
    </r>
    <r>
      <rPr>
        <b/>
        <sz val="11"/>
        <color rgb="FF000000"/>
        <rFont val="Calibri"/>
      </rPr>
      <t>D</t>
    </r>
    <r>
      <rPr>
        <sz val="11"/>
        <color rgb="FF000000"/>
        <rFont val="Calibri"/>
      </rPr>
      <t xml:space="preserve">ried </t>
    </r>
    <r>
      <rPr>
        <b/>
        <sz val="11"/>
        <color rgb="FF000000"/>
        <rFont val="Calibri"/>
      </rPr>
      <t>M</t>
    </r>
    <r>
      <rPr>
        <sz val="11"/>
        <color rgb="FF000000"/>
        <rFont val="Calibri"/>
      </rPr>
      <t xml:space="preserve">etric </t>
    </r>
    <r>
      <rPr>
        <b/>
        <sz val="11"/>
        <color rgb="FF000000"/>
        <rFont val="Calibri"/>
      </rPr>
      <t>T</t>
    </r>
    <r>
      <rPr>
        <sz val="11"/>
        <color rgb="FF000000"/>
        <rFont val="Calibri"/>
      </rPr>
      <t>ons)</t>
    </r>
  </si>
  <si>
    <t>Água de processo requerida</t>
  </si>
  <si>
    <t xml:space="preserve">dado estimado </t>
  </si>
  <si>
    <t>Soda caústica (NaOH)/ cozimento (100%)</t>
  </si>
  <si>
    <t>Soda caústica (NaOH)/ branqueamento (100%)</t>
  </si>
  <si>
    <r>
      <rPr>
        <sz val="11"/>
        <color rgb="FF000000"/>
        <rFont val="Calibri"/>
      </rPr>
      <t xml:space="preserve">anti-espumante </t>
    </r>
    <r>
      <rPr>
        <sz val="11"/>
        <color rgb="FFFF0000"/>
        <rFont val="Calibri"/>
      </rPr>
      <t>(?)</t>
    </r>
  </si>
  <si>
    <r>
      <rPr>
        <sz val="11"/>
        <color rgb="FF000000"/>
        <rFont val="Calibri"/>
        <scheme val="minor"/>
      </rPr>
      <t xml:space="preserve">H2SO4 (conc) </t>
    </r>
    <r>
      <rPr>
        <sz val="11"/>
        <color rgb="FFFF0000"/>
        <rFont val="Calibri"/>
        <scheme val="minor"/>
      </rPr>
      <t>(98%?)</t>
    </r>
  </si>
  <si>
    <t>Enxofre e/ou Sulfato de sódio (Na2SO4)</t>
  </si>
  <si>
    <t>Oxigénio Líquido (O2)</t>
  </si>
  <si>
    <t>Peróxido de Hidrogénio (H2O2)</t>
  </si>
  <si>
    <t>Cal virgem (CaO)</t>
  </si>
  <si>
    <r>
      <rPr>
        <sz val="11"/>
        <color rgb="FF000000"/>
        <rFont val="Calibri"/>
      </rPr>
      <t xml:space="preserve">Ácido Clorídrico (HCl) </t>
    </r>
    <r>
      <rPr>
        <sz val="11"/>
        <color rgb="FFFF0000"/>
        <rFont val="Calibri"/>
      </rPr>
      <t>(37-38%?)</t>
    </r>
  </si>
  <si>
    <t>Metanol (CH3OH)</t>
  </si>
  <si>
    <t>Recursos Energéticos (Energia Eléctrica)</t>
  </si>
  <si>
    <t>Electricidade para extração das cascas das toras</t>
  </si>
  <si>
    <t>dado literatura</t>
  </si>
  <si>
    <t>Electricidade para produção e classificação de cavacos</t>
  </si>
  <si>
    <t>Electriciddae para movimentação de materiais</t>
  </si>
  <si>
    <r>
      <rPr>
        <sz val="11"/>
        <color rgb="FF000000"/>
        <rFont val="Calibri"/>
        <scheme val="minor"/>
      </rPr>
      <t xml:space="preserve">Electricidade para a </t>
    </r>
    <r>
      <rPr>
        <b/>
        <sz val="11"/>
        <color rgb="FF000000"/>
        <rFont val="Calibri"/>
        <scheme val="minor"/>
      </rPr>
      <t>polpatação Kraft</t>
    </r>
  </si>
  <si>
    <r>
      <rPr>
        <sz val="11"/>
        <color rgb="FF000000"/>
        <rFont val="Calibri"/>
        <scheme val="minor"/>
      </rPr>
      <t xml:space="preserve">Electricidade para o </t>
    </r>
    <r>
      <rPr>
        <b/>
        <sz val="11"/>
        <color rgb="FF000000"/>
        <rFont val="Calibri"/>
        <scheme val="minor"/>
      </rPr>
      <t>Branqueamento</t>
    </r>
  </si>
  <si>
    <t>Recursos Energéticos (Energia Térmica)</t>
  </si>
  <si>
    <t>Polpatação Kraft</t>
  </si>
  <si>
    <t>Branqueamento</t>
  </si>
  <si>
    <t>Outros Recursos</t>
  </si>
  <si>
    <t>Área Requerida (construída)</t>
  </si>
  <si>
    <t>Produto: Pasta de Celulose</t>
  </si>
  <si>
    <t>TRS Polpatação contínua                                  (TRS = Total Reduced Sulfur)</t>
  </si>
  <si>
    <t>TRS Central de Lavagem</t>
  </si>
  <si>
    <t>TRS evaporação</t>
  </si>
  <si>
    <t>Efluentes Líquidos</t>
  </si>
  <si>
    <t>preparção da madeira</t>
  </si>
  <si>
    <t>cozimento contínuo</t>
  </si>
  <si>
    <t>central de lavagem</t>
  </si>
  <si>
    <t>branqueamento alcalino</t>
  </si>
  <si>
    <t>branqueamento ácido</t>
  </si>
  <si>
    <t>ST (Sólidos Totais)</t>
  </si>
  <si>
    <t>SS (Sólidos Suspensos)</t>
  </si>
  <si>
    <t>BOD5</t>
  </si>
  <si>
    <t>c</t>
  </si>
  <si>
    <t>Cascas</t>
  </si>
  <si>
    <t>Nós e palitos</t>
  </si>
  <si>
    <t>Madeira, areia, terra de preparação da madeira</t>
  </si>
  <si>
    <t>Limpeza das calhas</t>
  </si>
  <si>
    <t>Laboratório</t>
  </si>
  <si>
    <t>Resto da Oficina</t>
  </si>
  <si>
    <t>Outros Resíduos</t>
  </si>
  <si>
    <r>
      <rPr>
        <sz val="11"/>
        <color rgb="FF000000"/>
        <rFont val="Calibri"/>
      </rPr>
      <t xml:space="preserve">Sub-sistema: </t>
    </r>
    <r>
      <rPr>
        <b/>
        <sz val="12"/>
        <color rgb="FF000000"/>
        <rFont val="Calibri"/>
      </rPr>
      <t>Fabricação do Papel</t>
    </r>
  </si>
  <si>
    <t xml:space="preserve">Fabricação do Papel </t>
  </si>
  <si>
    <t>Celulose</t>
  </si>
  <si>
    <r>
      <rPr>
        <sz val="11"/>
        <color rgb="FF000000"/>
        <rFont val="Calibri"/>
        <scheme val="minor"/>
      </rPr>
      <t xml:space="preserve">PCC (Carbonato de Cálcip precipitado) </t>
    </r>
    <r>
      <rPr>
        <sz val="11"/>
        <color rgb="FFFF0000"/>
        <rFont val="Calibri"/>
        <scheme val="minor"/>
      </rPr>
      <t>(CaCO3)</t>
    </r>
  </si>
  <si>
    <t>Colagem Interna</t>
  </si>
  <si>
    <t>outros aditivos (não especificados)</t>
  </si>
  <si>
    <t xml:space="preserve">Recursos Energéticos </t>
  </si>
  <si>
    <t>Energia Eléctrica</t>
  </si>
  <si>
    <t>Energia Térmica</t>
  </si>
  <si>
    <r>
      <rPr>
        <b/>
        <sz val="11"/>
        <color rgb="FF000000"/>
        <rFont val="Calibri"/>
        <scheme val="minor"/>
      </rPr>
      <t xml:space="preserve">Produto: Papel </t>
    </r>
    <r>
      <rPr>
        <b/>
        <i/>
        <sz val="11"/>
        <color rgb="FF000000"/>
        <rFont val="Calibri"/>
        <scheme val="minor"/>
      </rPr>
      <t>Offset</t>
    </r>
  </si>
  <si>
    <t>Efluente Líquidos</t>
  </si>
  <si>
    <t>Vazão</t>
  </si>
  <si>
    <t>Máquina Papel Offset</t>
  </si>
  <si>
    <t>Preparação de aditivos</t>
  </si>
  <si>
    <t>Sólidos Totais</t>
  </si>
  <si>
    <t>Aparas de papel</t>
  </si>
  <si>
    <r>
      <rPr>
        <sz val="11"/>
        <color rgb="FF548235"/>
        <rFont val="Calibri"/>
      </rPr>
      <t xml:space="preserve">Sub-sistema: </t>
    </r>
    <r>
      <rPr>
        <b/>
        <sz val="12"/>
        <color rgb="FF548235"/>
        <rFont val="Calibri"/>
      </rPr>
      <t>Recuperação Química do Processo Kraft</t>
    </r>
  </si>
  <si>
    <r>
      <t xml:space="preserve">Unidade Funcional : </t>
    </r>
    <r>
      <rPr>
        <sz val="12"/>
        <color theme="9" tint="-0.249977111117893"/>
        <rFont val="Calibri"/>
        <scheme val="minor"/>
      </rPr>
      <t>Produção de</t>
    </r>
    <r>
      <rPr>
        <b/>
        <sz val="12"/>
        <color theme="9" tint="-0.249977111117893"/>
        <rFont val="Calibri"/>
        <scheme val="minor"/>
      </rPr>
      <t xml:space="preserve"> 1 tonelada</t>
    </r>
    <r>
      <rPr>
        <sz val="12"/>
        <color theme="9" tint="-0.249977111117893"/>
        <rFont val="Calibri"/>
        <scheme val="minor"/>
      </rPr>
      <t xml:space="preserve"> de</t>
    </r>
    <r>
      <rPr>
        <b/>
        <sz val="12"/>
        <color theme="9" tint="-0.249977111117893"/>
        <rFont val="Calibri"/>
        <scheme val="minor"/>
      </rPr>
      <t xml:space="preserve"> papel</t>
    </r>
    <r>
      <rPr>
        <b/>
        <i/>
        <sz val="12"/>
        <color theme="9" tint="-0.249977111117893"/>
        <rFont val="Calibri"/>
        <scheme val="minor"/>
      </rPr>
      <t xml:space="preserve"> offset</t>
    </r>
  </si>
  <si>
    <t>Recuperação Química do Processo Kraft</t>
  </si>
  <si>
    <t>Licor Negro da Digestão e Lavagem</t>
  </si>
  <si>
    <t>Material Particulado</t>
  </si>
  <si>
    <t>Caldeira de recuperação</t>
  </si>
  <si>
    <r>
      <rPr>
        <sz val="11"/>
        <color rgb="FF000000"/>
        <rFont val="Calibri"/>
      </rPr>
      <t>Tanque de</t>
    </r>
    <r>
      <rPr>
        <i/>
        <sz val="11"/>
        <color rgb="FF000000"/>
        <rFont val="Calibri"/>
      </rPr>
      <t xml:space="preserve"> Smelt </t>
    </r>
    <r>
      <rPr>
        <i/>
        <sz val="11"/>
        <color rgb="FFFF0000"/>
        <rFont val="Calibri"/>
      </rPr>
      <t>(</t>
    </r>
    <r>
      <rPr>
        <sz val="11"/>
        <color rgb="FFFF0000"/>
        <rFont val="Calibri"/>
      </rPr>
      <t>Fundição?)</t>
    </r>
  </si>
  <si>
    <t>Fornos de Cal</t>
  </si>
  <si>
    <t>Caldeira Gás Natural</t>
  </si>
  <si>
    <t>TRS (Total Reduced Sulfur)</t>
  </si>
  <si>
    <t>pós queimador de gases conc.</t>
  </si>
  <si>
    <t>evaporação</t>
  </si>
  <si>
    <t>Caldeira de recuperação (fontes de gases diluídos)</t>
  </si>
  <si>
    <r>
      <rPr>
        <sz val="11"/>
        <color rgb="FF000000"/>
        <rFont val="Calibri"/>
        <scheme val="minor"/>
      </rPr>
      <t xml:space="preserve">Coluna de stripping </t>
    </r>
    <r>
      <rPr>
        <sz val="11"/>
        <color rgb="FFFF0000"/>
        <rFont val="Calibri"/>
        <scheme val="minor"/>
      </rPr>
      <t>(descasque?)</t>
    </r>
  </si>
  <si>
    <t>caustificação/ fornos/ corr. pH ETE</t>
  </si>
  <si>
    <t>caldeira de recuperação / Evaporação</t>
  </si>
  <si>
    <t>caldeira óleo/gás</t>
  </si>
  <si>
    <t>colheita e queima de TRS</t>
  </si>
  <si>
    <t>Sólidos totais</t>
  </si>
  <si>
    <t>Sólidos suspensos</t>
  </si>
  <si>
    <t>Resíduos para Aterro Industrial</t>
  </si>
  <si>
    <t>Dregs (Escórias)</t>
  </si>
  <si>
    <t xml:space="preserve">Grits </t>
  </si>
  <si>
    <t>Cal queimada</t>
  </si>
  <si>
    <t>Cinzas da Caldeira</t>
  </si>
  <si>
    <r>
      <rPr>
        <sz val="11"/>
        <color rgb="FF000000"/>
        <rFont val="Calibri"/>
      </rPr>
      <t xml:space="preserve">Sub-sistema: </t>
    </r>
    <r>
      <rPr>
        <b/>
        <sz val="12"/>
        <color rgb="FF000000"/>
        <rFont val="Calibri"/>
      </rPr>
      <t>Estação de Tratamento de Efluentes (ETE)</t>
    </r>
  </si>
  <si>
    <r>
      <rPr>
        <b/>
        <sz val="12"/>
        <color rgb="FF000000"/>
        <rFont val="Calibri"/>
      </rPr>
      <t>Unidade Funcional :  1 tonelada</t>
    </r>
    <r>
      <rPr>
        <sz val="12"/>
        <color rgb="FF000000"/>
        <rFont val="Calibri"/>
      </rPr>
      <t xml:space="preserve"> de</t>
    </r>
    <r>
      <rPr>
        <b/>
        <sz val="12"/>
        <color rgb="FF000000"/>
        <rFont val="Calibri"/>
      </rPr>
      <t xml:space="preserve"> papel</t>
    </r>
    <r>
      <rPr>
        <b/>
        <i/>
        <sz val="12"/>
        <color rgb="FF000000"/>
        <rFont val="Calibri"/>
      </rPr>
      <t xml:space="preserve"> offset</t>
    </r>
    <r>
      <rPr>
        <sz val="12"/>
        <color rgb="FF000000"/>
        <rFont val="Calibri"/>
      </rPr>
      <t xml:space="preserve"> produzida</t>
    </r>
  </si>
  <si>
    <t>Estação de Tratamento de Efluentes (ETE)</t>
  </si>
  <si>
    <t>Ureia</t>
  </si>
  <si>
    <t>Ácido Fosfórico (H3PO4 85%)</t>
  </si>
  <si>
    <t>polieletrólito</t>
  </si>
  <si>
    <t xml:space="preserve"> Energia Eléctrica (Aeradores/Bombas)</t>
  </si>
  <si>
    <t>Vazão Tratada</t>
  </si>
  <si>
    <t>AOX (Adsorbable organic halides)</t>
  </si>
  <si>
    <t>T</t>
  </si>
  <si>
    <t>ºC</t>
  </si>
  <si>
    <t>pH</t>
  </si>
  <si>
    <t>Lodo da ETE</t>
  </si>
  <si>
    <t xml:space="preserve"> VER BASE DADOS PT : https://www.aiccopn.pt/precos-de-referencia-na-construcao-base-de-dados/</t>
  </si>
  <si>
    <t>PRC que permitirá obter preços indicativos para os tipos de trabalhos de construção mais comuns.</t>
  </si>
  <si>
    <t>(Xia, 2008)</t>
  </si>
  <si>
    <t xml:space="preserve">doi:10.1016/j.enbuild.2007.10.016
</t>
  </si>
  <si>
    <t>life-cycle inventory model for the office buildings</t>
  </si>
  <si>
    <t>(Monteiro&amp;Freire, 2011)</t>
  </si>
  <si>
    <t>doi:10.1016/j.enbuild.2011.12.032</t>
  </si>
  <si>
    <t>A life-cycle (LC) model has been implemented for a Portuguese single-family house.</t>
  </si>
  <si>
    <t>(Bribián, 2009)</t>
  </si>
  <si>
    <t>doi:10.1016/j.buildenv.2009.05.001</t>
  </si>
  <si>
    <t>Espanha</t>
  </si>
  <si>
    <t xml:space="preserve"> (Zabarza, 2013 )</t>
  </si>
  <si>
    <t>doi:10.3390/en6083901</t>
  </si>
  <si>
    <t>Use of LCA as a Tool for Building Ecodesign. A Case Study of a Low Energy Building in Spain</t>
  </si>
  <si>
    <r>
      <rPr>
        <sz val="11"/>
        <color rgb="FF000000"/>
        <rFont val="Calibri"/>
        <scheme val="minor"/>
      </rPr>
      <t xml:space="preserve">Long [7] used the </t>
    </r>
    <r>
      <rPr>
        <b/>
        <sz val="11"/>
        <color rgb="FF000000"/>
        <rFont val="Calibri"/>
        <scheme val="minor"/>
      </rPr>
      <t>BIN method to calculate the building energy consumption</t>
    </r>
  </si>
  <si>
    <t>SimaPro software</t>
  </si>
  <si>
    <r>
      <rPr>
        <sz val="11"/>
        <color rgb="FF000000"/>
        <rFont val="Calibri"/>
      </rPr>
      <t>Special software is then needed in the LCA. The</t>
    </r>
    <r>
      <rPr>
        <b/>
        <sz val="11"/>
        <color rgb="FF000000"/>
        <rFont val="Calibri"/>
      </rPr>
      <t xml:space="preserve"> BESLCI program </t>
    </r>
    <r>
      <rPr>
        <sz val="11"/>
        <color rgb="FF000000"/>
        <rFont val="Calibri"/>
      </rPr>
      <t>developed by Huang [8] will be utilized in this paper.</t>
    </r>
  </si>
  <si>
    <r>
      <rPr>
        <sz val="11"/>
        <color rgb="FF000000"/>
        <rFont val="Calibri"/>
        <scheme val="minor"/>
      </rPr>
      <t xml:space="preserve">The case study </t>
    </r>
    <r>
      <rPr>
        <b/>
        <sz val="11"/>
        <color rgb="FF000000"/>
        <rFont val="Calibri"/>
        <scheme val="minor"/>
      </rPr>
      <t>implemented using the Simapro 7 software (www.pre.nl)</t>
    </r>
    <r>
      <rPr>
        <sz val="11"/>
        <color rgb="FF000000"/>
        <rFont val="Calibri"/>
        <scheme val="minor"/>
      </rPr>
      <t xml:space="preserve"> is based on a basic architecture model (Fig. 1) representing a </t>
    </r>
    <r>
      <rPr>
        <b/>
        <sz val="11"/>
        <color rgb="FF000000"/>
        <rFont val="Calibri"/>
        <scheme val="minor"/>
      </rPr>
      <t>typical single-family house</t>
    </r>
    <r>
      <rPr>
        <sz val="11"/>
        <color rgb="FF000000"/>
        <rFont val="Calibri"/>
        <scheme val="minor"/>
      </rPr>
      <t xml:space="preserve"> located in </t>
    </r>
    <r>
      <rPr>
        <b/>
        <sz val="11"/>
        <color rgb="FF000000"/>
        <rFont val="Calibri"/>
        <scheme val="minor"/>
      </rPr>
      <t>Coimbra, in the center of Portugal,</t>
    </r>
    <r>
      <rPr>
        <sz val="11"/>
        <color rgb="FF000000"/>
        <rFont val="Calibri"/>
        <scheme val="minor"/>
      </rPr>
      <t xml:space="preserve"> with an expected</t>
    </r>
    <r>
      <rPr>
        <b/>
        <sz val="11"/>
        <color rgb="FF000000"/>
        <rFont val="Calibri"/>
        <scheme val="minor"/>
      </rPr>
      <t xml:space="preserve"> life span of 50 years</t>
    </r>
    <r>
      <rPr>
        <sz val="11"/>
        <color rgb="FF000000"/>
        <rFont val="Calibri"/>
        <scheme val="minor"/>
      </rPr>
      <t xml:space="preserve"> and </t>
    </r>
    <r>
      <rPr>
        <b/>
        <sz val="11"/>
        <color rgb="FF000000"/>
        <rFont val="Calibri"/>
        <scheme val="minor"/>
      </rPr>
      <t>132 m2 of living area.</t>
    </r>
    <r>
      <rPr>
        <sz val="11"/>
        <color rgb="FF000000"/>
        <rFont val="Calibri"/>
        <scheme val="minor"/>
      </rPr>
      <t xml:space="preserve"> 
The</t>
    </r>
    <r>
      <rPr>
        <sz val="11"/>
        <color rgb="FFC00000"/>
        <rFont val="Calibri"/>
        <scheme val="minor"/>
      </rPr>
      <t xml:space="preserve"> </t>
    </r>
    <r>
      <rPr>
        <b/>
        <sz val="11"/>
        <color rgb="FFC00000"/>
        <rFont val="Calibri"/>
        <scheme val="minor"/>
      </rPr>
      <t>functional unit selected</t>
    </r>
    <r>
      <rPr>
        <sz val="11"/>
        <color rgb="FF000000"/>
        <rFont val="Calibri"/>
        <scheme val="minor"/>
      </rPr>
      <t xml:space="preserve"> is the</t>
    </r>
    <r>
      <rPr>
        <b/>
        <sz val="11"/>
        <color rgb="FFC00000"/>
        <rFont val="Calibri"/>
        <scheme val="minor"/>
      </rPr>
      <t xml:space="preserve"> building living area over the building life span </t>
    </r>
    <r>
      <rPr>
        <sz val="11"/>
        <color rgb="FF000000"/>
        <rFont val="Calibri"/>
        <scheme val="minor"/>
      </rPr>
      <t xml:space="preserve">in order to analyze the whole building performance and the various exterior wallhouse solutions. </t>
    </r>
  </si>
  <si>
    <t xml:space="preserve">4 fases :  product, construction process, use, and end-of-life stage </t>
  </si>
  <si>
    <r>
      <rPr>
        <sz val="11"/>
        <color rgb="FF000000"/>
        <rFont val="Calibri"/>
        <scheme val="minor"/>
      </rPr>
      <t>The LCI of t</t>
    </r>
    <r>
      <rPr>
        <b/>
        <sz val="11"/>
        <color rgb="FF000000"/>
        <rFont val="Calibri"/>
        <scheme val="minor"/>
      </rPr>
      <t>wo typical office buildings</t>
    </r>
    <r>
      <rPr>
        <sz val="11"/>
        <color rgb="FF000000"/>
        <rFont val="Calibri"/>
        <scheme val="minor"/>
      </rPr>
      <t xml:space="preserve"> in Shanghai, China, are investigated and intercompared in this study. Of these two buildings,</t>
    </r>
    <r>
      <rPr>
        <b/>
        <sz val="11"/>
        <color rgb="FF000000"/>
        <rFont val="Calibri"/>
        <scheme val="minor"/>
      </rPr>
      <t xml:space="preserve"> one is steel-constructed with glass-walls</t>
    </r>
    <r>
      <rPr>
        <sz val="11"/>
        <color rgb="FF000000"/>
        <rFont val="Calibri"/>
        <scheme val="minor"/>
      </rPr>
      <t xml:space="preserve"> and another is </t>
    </r>
    <r>
      <rPr>
        <b/>
        <sz val="11"/>
        <color rgb="FF000000"/>
        <rFont val="Calibri"/>
        <scheme val="minor"/>
      </rPr>
      <t>concrete-constructed whose east and south walls are glass ones and west and north walls are aerated concrete constructed</t>
    </r>
    <r>
      <rPr>
        <sz val="11"/>
        <color rgb="FF000000"/>
        <rFont val="Calibri"/>
        <scheme val="minor"/>
      </rPr>
      <t>.</t>
    </r>
  </si>
  <si>
    <t xml:space="preserve">Categorias de Impacto avaliadas: </t>
  </si>
  <si>
    <t>Necessidades Energéticas Primárias (in MJEq or kWh-Eq)</t>
  </si>
  <si>
    <t>só com base na Energia!!!</t>
  </si>
  <si>
    <t xml:space="preserve">Potencial de aquecimento Global-GWP  (in kg CO2-Eq) </t>
  </si>
  <si>
    <r>
      <rPr>
        <sz val="11"/>
        <color rgb="FF000000"/>
        <rFont val="Calibri"/>
        <scheme val="minor"/>
      </rPr>
      <t xml:space="preserve">In this LCA study </t>
    </r>
    <r>
      <rPr>
        <b/>
        <sz val="11"/>
        <color rgb="FF000000"/>
        <rFont val="Calibri"/>
        <scheme val="minor"/>
      </rPr>
      <t>a building representative of the ecocity</t>
    </r>
    <r>
      <rPr>
        <sz val="11"/>
        <color rgb="FF000000"/>
        <rFont val="Calibri"/>
        <scheme val="minor"/>
      </rPr>
      <t xml:space="preserve"> of Valdespartera (Zaragoza, Spain) </t>
    </r>
    <r>
      <rPr>
        <b/>
        <sz val="11"/>
        <color rgb="FF000000"/>
        <rFont val="Calibri"/>
        <scheme val="minor"/>
      </rPr>
      <t xml:space="preserve">was selected </t>
    </r>
    <r>
      <rPr>
        <sz val="11"/>
        <color rgb="FF000000"/>
        <rFont val="Calibri"/>
        <scheme val="minor"/>
      </rPr>
      <t xml:space="preserve">initially </t>
    </r>
    <r>
      <rPr>
        <b/>
        <sz val="11"/>
        <color rgb="FF000000"/>
        <rFont val="Calibri"/>
        <scheme val="minor"/>
      </rPr>
      <t>as a functional unit considering a service life of 50 years.</t>
    </r>
    <r>
      <rPr>
        <sz val="11"/>
        <color rgb="FF000000"/>
        <rFont val="Calibri"/>
        <scheme val="minor"/>
      </rPr>
      <t xml:space="preserve"> </t>
    </r>
  </si>
  <si>
    <r>
      <rPr>
        <sz val="11"/>
        <color rgb="FF000000"/>
        <rFont val="Calibri"/>
        <scheme val="minor"/>
      </rPr>
      <t xml:space="preserve">A </t>
    </r>
    <r>
      <rPr>
        <b/>
        <sz val="11"/>
        <color rgb="FF000000"/>
        <rFont val="Calibri"/>
        <scheme val="minor"/>
      </rPr>
      <t xml:space="preserve">proporção de energia incorporada nos materiais usados </t>
    </r>
    <r>
      <rPr>
        <sz val="11"/>
        <color rgb="FF000000"/>
        <rFont val="Calibri"/>
        <scheme val="minor"/>
      </rPr>
      <t>pode variar entre</t>
    </r>
    <r>
      <rPr>
        <b/>
        <sz val="11"/>
        <color rgb="FF000000"/>
        <rFont val="Calibri"/>
        <scheme val="minor"/>
      </rPr>
      <t xml:space="preserve"> 2 e 38%</t>
    </r>
    <r>
      <rPr>
        <sz val="11"/>
        <color rgb="FF000000"/>
        <rFont val="Calibri"/>
        <scheme val="minor"/>
      </rPr>
      <t xml:space="preserve"> da </t>
    </r>
    <r>
      <rPr>
        <b/>
        <sz val="11"/>
        <color rgb="FF000000"/>
        <rFont val="Calibri"/>
        <scheme val="minor"/>
      </rPr>
      <t xml:space="preserve">energia total utilizada na vida útil do edifício </t>
    </r>
    <r>
      <rPr>
        <sz val="11"/>
        <color rgb="FF000000"/>
        <rFont val="Calibri"/>
        <scheme val="minor"/>
      </rPr>
      <t xml:space="preserve">construido de </t>
    </r>
    <r>
      <rPr>
        <b/>
        <sz val="11"/>
        <color rgb="FF000000"/>
        <rFont val="Calibri"/>
        <scheme val="minor"/>
      </rPr>
      <t>forma convencional.</t>
    </r>
    <r>
      <rPr>
        <sz val="11"/>
        <color rgb="FF000000"/>
        <rFont val="Calibri"/>
        <scheme val="minor"/>
      </rPr>
      <t xml:space="preserve"> 
The life cycle of a building is usually composed of three main stages: production, management and destruction.</t>
    </r>
  </si>
  <si>
    <t>Inventário dos Materiais para a construção da Estrutura e Invólucro da casa</t>
  </si>
  <si>
    <t>Zona</t>
  </si>
  <si>
    <t>área (m2)</t>
  </si>
  <si>
    <t>Tipo Material</t>
  </si>
  <si>
    <t>Volume (m3)</t>
  </si>
  <si>
    <t>Densidade (kg/m3)</t>
  </si>
  <si>
    <t>Peso (t)</t>
  </si>
  <si>
    <t>Parede Externa</t>
  </si>
  <si>
    <t>Aglomerado de Cortiça</t>
  </si>
  <si>
    <t>Argamassa de Cal</t>
  </si>
  <si>
    <t>Bloco de argila leve de cerâmica, espessura: 24 cm</t>
  </si>
  <si>
    <t>Gesso</t>
  </si>
  <si>
    <t>Parede externa</t>
  </si>
  <si>
    <t>Revestimento de camada única</t>
  </si>
  <si>
    <t>Parede Interna</t>
  </si>
  <si>
    <t>Tijolos</t>
  </si>
  <si>
    <t>Fundações</t>
  </si>
  <si>
    <t>Azulejo de grés</t>
  </si>
  <si>
    <t>Argamassa de cimento</t>
  </si>
  <si>
    <t>Laje ex-argila (Ex-clay floor slab)</t>
  </si>
  <si>
    <t>Laje tipo “Forel”</t>
  </si>
  <si>
    <t>Chão</t>
  </si>
  <si>
    <t>Cimento (concrete)</t>
  </si>
  <si>
    <t>Telhado</t>
  </si>
  <si>
    <t>Laje de telhado ex-argila</t>
  </si>
  <si>
    <t>Isolamento de poliestireno extrudado</t>
  </si>
  <si>
    <t>Janelas e Portas</t>
  </si>
  <si>
    <t>Portas</t>
  </si>
  <si>
    <t>Portas interior de Madeira</t>
  </si>
  <si>
    <t>Janelas</t>
  </si>
  <si>
    <t>Vidros duplos Climalit 5-10-6
(resto da fachada)</t>
  </si>
  <si>
    <t>Vidro simples 5mm
(estufas)</t>
  </si>
  <si>
    <r>
      <rPr>
        <sz val="11"/>
        <color rgb="FF000000"/>
        <rFont val="Calibri"/>
      </rPr>
      <t xml:space="preserve">Below, there is a </t>
    </r>
    <r>
      <rPr>
        <b/>
        <sz val="11"/>
        <color rgb="FF000000"/>
        <rFont val="Calibri"/>
      </rPr>
      <t>simplified study of the life cycle assessment</t>
    </r>
    <r>
      <rPr>
        <sz val="11"/>
        <color rgb="FF000000"/>
        <rFont val="Calibri"/>
      </rPr>
      <t xml:space="preserve"> of a s</t>
    </r>
    <r>
      <rPr>
        <b/>
        <sz val="11"/>
        <color rgb="FF000000"/>
        <rFont val="Calibri"/>
      </rPr>
      <t>ingle-family home</t>
    </r>
    <r>
      <rPr>
        <sz val="11"/>
        <color rgb="FF000000"/>
        <rFont val="Calibri"/>
      </rPr>
      <t xml:space="preserve">  of </t>
    </r>
    <r>
      <rPr>
        <b/>
        <sz val="11"/>
        <color rgb="FF000000"/>
        <rFont val="Calibri"/>
      </rPr>
      <t>222 m2</t>
    </r>
    <r>
      <rPr>
        <sz val="11"/>
        <color rgb="FF000000"/>
        <rFont val="Calibri"/>
      </rPr>
      <t xml:space="preserve"> with a total volume of </t>
    </r>
    <r>
      <rPr>
        <b/>
        <sz val="11"/>
        <color rgb="FF000000"/>
        <rFont val="Calibri"/>
      </rPr>
      <t xml:space="preserve">502 m3 </t>
    </r>
    <r>
      <rPr>
        <sz val="11"/>
        <color rgb="FF000000"/>
        <rFont val="Calibri"/>
      </rPr>
      <t>, in the municipality of Zaragoza (Aragon, Spain), with a climatic severity D3.</t>
    </r>
  </si>
  <si>
    <t>Moldura de alumínio
(10% superfície vidrada)</t>
  </si>
  <si>
    <t xml:space="preserve">Outros Elementos estruturais </t>
  </si>
  <si>
    <t>Pilares e
Paredes de contenção</t>
  </si>
  <si>
    <t>Betão armado</t>
  </si>
  <si>
    <t>Consumo Total de Água do Edifício</t>
  </si>
  <si>
    <t>Número de casas</t>
  </si>
  <si>
    <t>Número de ocupantes</t>
  </si>
  <si>
    <t>Consumo unitário de água
(m3/casa e dia)</t>
  </si>
  <si>
    <t>Consumo total de água
(m3/ano)</t>
  </si>
  <si>
    <t>TOTAL</t>
  </si>
  <si>
    <t>Fator de importânica face ao PIB=</t>
  </si>
  <si>
    <t>Produtividade dos recursos</t>
  </si>
  <si>
    <t>Produtividade dos recursos (eur/Kg)=</t>
  </si>
  <si>
    <t>PIB/DMC</t>
  </si>
  <si>
    <t>em que DMC= DMI- Exportações;</t>
  </si>
  <si>
    <t>DMI=Extração interna de materiais + Importações;</t>
  </si>
  <si>
    <t>em que,</t>
  </si>
  <si>
    <t>DMC-&gt; Consumo interno de materiais</t>
  </si>
  <si>
    <t>Passos para o cálculo:</t>
  </si>
  <si>
    <t>1-</t>
  </si>
  <si>
    <t>identificar os maiores produtos extraidos/produzidos da região piloto</t>
  </si>
  <si>
    <t>2-</t>
  </si>
  <si>
    <t xml:space="preserve">Quantificar a extração/produção interna dos produtos identificados </t>
  </si>
  <si>
    <t>3-</t>
  </si>
  <si>
    <t>Quantificar as importações dos produtos identificados</t>
  </si>
  <si>
    <t>4-</t>
  </si>
  <si>
    <t>Quantificar as exportações dos produtos identificados</t>
  </si>
  <si>
    <t>5-</t>
  </si>
  <si>
    <t>Proceder com os cálculos do DMI e do DMC</t>
  </si>
  <si>
    <t>6-</t>
  </si>
  <si>
    <t>Cálcular a Produtividade dos recursos/produtos identificados</t>
  </si>
  <si>
    <t>Passo 1:</t>
  </si>
  <si>
    <t>Identificação dos maiores setores de atividade económica</t>
  </si>
  <si>
    <t xml:space="preserve"> Peso das atividades economicas das regiões</t>
  </si>
  <si>
    <t>Agricultura, produção animal, caça, floresta e pesca</t>
  </si>
  <si>
    <t>Indústrias extrativas</t>
  </si>
  <si>
    <t>Indústrias transformadoras</t>
  </si>
  <si>
    <t>Eletricidade, gás, vapor, água quente e fria e ar frio</t>
  </si>
  <si>
    <t>Captação, tratamento e distribuição de água; saneamento, gestão de resíduos e despoluição</t>
  </si>
  <si>
    <t>Comércio por grosso e a retalho; reparação de veículos automóveis e motociclos</t>
  </si>
  <si>
    <t>Transportes e armazenagem</t>
  </si>
  <si>
    <t>Alojamento, restauração e similares</t>
  </si>
  <si>
    <t>Atividades de informação e de comunicação</t>
  </si>
  <si>
    <t>Atividades imobiliárias</t>
  </si>
  <si>
    <t>Atividades de consultoria, científicas, técnicas e similares</t>
  </si>
  <si>
    <t>Atividades administrativas e dos serviços de apoio</t>
  </si>
  <si>
    <t>Educação</t>
  </si>
  <si>
    <t>Atividades de saúde humana e apoio  social</t>
  </si>
  <si>
    <t>Atividades artísticas, de espetáculos, desportivas e recreativas</t>
  </si>
  <si>
    <t>Outras</t>
  </si>
  <si>
    <t>R. Piloto</t>
  </si>
  <si>
    <t>R. Centro</t>
  </si>
  <si>
    <t>% peso</t>
  </si>
  <si>
    <t> </t>
  </si>
  <si>
    <t>Região de Coimbra</t>
  </si>
  <si>
    <t>Viseu Dão Lafões</t>
  </si>
  <si>
    <t>Beiras e Serra da Estrela</t>
  </si>
  <si>
    <t>Fabricação de pasta, de papel e cartão (excepto canelado)</t>
  </si>
  <si>
    <t>Fabricação de papel e de cartão canelados e de artigos de papel e de cartão</t>
  </si>
  <si>
    <t>Produtos Produzidos</t>
  </si>
  <si>
    <t>PIB</t>
  </si>
  <si>
    <t>Importações</t>
  </si>
  <si>
    <t>Exportações</t>
  </si>
  <si>
    <t>DMI</t>
  </si>
  <si>
    <t>DMC</t>
  </si>
  <si>
    <t>N.º de trabalhadores</t>
  </si>
  <si>
    <t xml:space="preserve">N.º </t>
  </si>
  <si>
    <t>€ (milhões)</t>
  </si>
  <si>
    <t>eur/Kg</t>
  </si>
  <si>
    <t>Portugal</t>
  </si>
  <si>
    <t>Centro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</si>
</sst>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0E+00"/>
    <numFmt numFmtId="165" formatCode="0.000"/>
    <numFmt numFmtId="166" formatCode="0.0"/>
    <numFmt numFmtId="167" formatCode="0.0000"/>
  </numFmts>
  <fonts count="94" x14ac:knownFonts="1">
    <font>
      <sz val="11"/>
      <color theme="1"/>
      <name val="Calibri"/>
      <family val="2"/>
      <scheme val="minor"/>
    </font>
    <font>
      <sz val="11"/>
      <color theme="1"/>
      <name val="Calibri"/>
      <scheme val="minor"/>
    </font>
    <font>
      <b/>
      <sz val="11"/>
      <color theme="1"/>
      <name val="Calibri"/>
      <family val="2"/>
      <scheme val="minor"/>
    </font>
    <font>
      <sz val="11"/>
      <color rgb="FF0070C0"/>
      <name val="Calibri"/>
      <family val="2"/>
      <scheme val="minor"/>
    </font>
    <font>
      <b/>
      <sz val="11"/>
      <color rgb="FF0070C0"/>
      <name val="Calibri"/>
      <family val="2"/>
      <scheme val="minor"/>
    </font>
    <font>
      <u/>
      <sz val="11"/>
      <color theme="10"/>
      <name val="Calibri"/>
      <family val="2"/>
      <scheme val="minor"/>
    </font>
    <font>
      <sz val="11"/>
      <color rgb="FF444444"/>
      <name val="Calibri"/>
      <family val="2"/>
      <charset val="1"/>
    </font>
    <font>
      <sz val="11"/>
      <color rgb="FF000000"/>
      <name val="Calibri"/>
      <charset val="1"/>
    </font>
    <font>
      <b/>
      <sz val="11"/>
      <color rgb="FF000000"/>
      <name val="Calibri"/>
      <scheme val="minor"/>
    </font>
    <font>
      <b/>
      <sz val="12"/>
      <color theme="1"/>
      <name val="Calibri"/>
      <family val="2"/>
      <scheme val="minor"/>
    </font>
    <font>
      <sz val="11"/>
      <color rgb="FFFF0000"/>
      <name val="Calibri"/>
      <family val="2"/>
      <scheme val="minor"/>
    </font>
    <font>
      <sz val="11"/>
      <color rgb="FF000000"/>
      <name val="Calibri"/>
      <family val="2"/>
    </font>
    <font>
      <sz val="11"/>
      <color rgb="FF000000"/>
      <name val="Calibri"/>
      <scheme val="minor"/>
    </font>
    <font>
      <sz val="11"/>
      <color rgb="FF000000"/>
      <name val="Calibri"/>
      <family val="2"/>
      <scheme val="minor"/>
    </font>
    <font>
      <sz val="12"/>
      <color rgb="FF0070C0"/>
      <name val="Calibri"/>
    </font>
    <font>
      <sz val="12"/>
      <color theme="1"/>
      <name val="Calibri"/>
      <family val="2"/>
      <scheme val="minor"/>
    </font>
    <font>
      <sz val="11"/>
      <color rgb="FF444444"/>
      <name val="Calibri"/>
      <charset val="1"/>
    </font>
    <font>
      <b/>
      <sz val="11"/>
      <color rgb="FF000000"/>
      <name val="Calibri"/>
    </font>
    <font>
      <sz val="11"/>
      <color rgb="FF000000"/>
      <name val="Calibri"/>
    </font>
    <font>
      <i/>
      <sz val="11"/>
      <color rgb="FF000000"/>
      <name val="Calibri"/>
    </font>
    <font>
      <sz val="11"/>
      <color rgb="FFFF0000"/>
      <name val="Calibri"/>
    </font>
    <font>
      <b/>
      <sz val="11"/>
      <color rgb="FFC00000"/>
      <name val="Calibri"/>
      <family val="2"/>
      <scheme val="minor"/>
    </font>
    <font>
      <sz val="11"/>
      <color rgb="FFC00000"/>
      <name val="Calibri"/>
      <family val="2"/>
      <scheme val="minor"/>
    </font>
    <font>
      <b/>
      <sz val="11"/>
      <color rgb="FFC00000"/>
      <name val="Calibri"/>
      <scheme val="minor"/>
    </font>
    <font>
      <b/>
      <sz val="11"/>
      <color rgb="FFFF0000"/>
      <name val="Calibri"/>
      <family val="2"/>
      <scheme val="minor"/>
    </font>
    <font>
      <sz val="11"/>
      <color rgb="FFC00000"/>
      <name val="Calibri"/>
      <scheme val="minor"/>
    </font>
    <font>
      <i/>
      <sz val="11"/>
      <color theme="1"/>
      <name val="Calibri"/>
      <family val="2"/>
      <scheme val="minor"/>
    </font>
    <font>
      <strike/>
      <sz val="11"/>
      <color rgb="FF000000"/>
      <name val="Calibri"/>
    </font>
    <font>
      <b/>
      <sz val="11"/>
      <color rgb="FFFF0000"/>
      <name val="Calibri"/>
    </font>
    <font>
      <b/>
      <sz val="14"/>
      <color theme="1"/>
      <name val="Calibri"/>
      <family val="2"/>
      <scheme val="minor"/>
    </font>
    <font>
      <b/>
      <sz val="14"/>
      <color rgb="FF000000"/>
      <name val="Calibri"/>
      <scheme val="minor"/>
    </font>
    <font>
      <b/>
      <sz val="12"/>
      <color theme="1"/>
      <name val="Calibri"/>
      <scheme val="minor"/>
    </font>
    <font>
      <b/>
      <sz val="12"/>
      <color rgb="FF000000"/>
      <name val="Calibri"/>
      <scheme val="minor"/>
    </font>
    <font>
      <sz val="10"/>
      <color rgb="FF000000"/>
      <name val="Calibri"/>
      <family val="2"/>
      <scheme val="minor"/>
    </font>
    <font>
      <sz val="10"/>
      <color theme="1"/>
      <name val="Calibri"/>
      <family val="2"/>
      <scheme val="minor"/>
    </font>
    <font>
      <b/>
      <sz val="14"/>
      <color rgb="FF000000"/>
      <name val="Calibri"/>
    </font>
    <font>
      <b/>
      <sz val="14"/>
      <color rgb="FF00B050"/>
      <name val="Calibri"/>
    </font>
    <font>
      <b/>
      <sz val="14"/>
      <color theme="1"/>
      <name val="Calibri"/>
    </font>
    <font>
      <b/>
      <sz val="12"/>
      <color rgb="FF00B050"/>
      <name val="Calibri"/>
      <scheme val="minor"/>
    </font>
    <font>
      <b/>
      <sz val="14"/>
      <color rgb="FF00B050"/>
      <name val="Calibri"/>
      <scheme val="minor"/>
    </font>
    <font>
      <b/>
      <sz val="14"/>
      <color rgb="FFFF0000"/>
      <name val="Calibri"/>
    </font>
    <font>
      <b/>
      <sz val="14"/>
      <color rgb="FFFFC000"/>
      <name val="Calibri"/>
    </font>
    <font>
      <sz val="11"/>
      <color rgb="FFFF0066"/>
      <name val="Calibri"/>
    </font>
    <font>
      <b/>
      <sz val="11"/>
      <color rgb="FF000000"/>
      <name val="Calibri"/>
      <family val="2"/>
      <scheme val="minor"/>
    </font>
    <font>
      <sz val="11"/>
      <color rgb="FFFF0000"/>
      <name val="Calibri"/>
      <scheme val="minor"/>
    </font>
    <font>
      <b/>
      <sz val="12"/>
      <color rgb="FF000000"/>
      <name val="Calibri"/>
    </font>
    <font>
      <sz val="12"/>
      <color rgb="FF000000"/>
      <name val="Calibri"/>
      <scheme val="minor"/>
    </font>
    <font>
      <b/>
      <i/>
      <sz val="12"/>
      <color rgb="FF000000"/>
      <name val="Calibri"/>
      <scheme val="minor"/>
    </font>
    <font>
      <b/>
      <sz val="14"/>
      <color rgb="FF00B050"/>
      <name val="Calibri"/>
      <family val="2"/>
      <scheme val="minor"/>
    </font>
    <font>
      <b/>
      <sz val="14"/>
      <color theme="5" tint="-0.249977111117893"/>
      <name val="Calibri"/>
    </font>
    <font>
      <b/>
      <sz val="14"/>
      <color theme="5" tint="-0.249977111117893"/>
      <name val="Calibri"/>
      <family val="2"/>
      <scheme val="minor"/>
    </font>
    <font>
      <b/>
      <sz val="14"/>
      <color rgb="FF0070C0"/>
      <name val="Calibri"/>
    </font>
    <font>
      <b/>
      <sz val="14"/>
      <color rgb="FF0070C0"/>
      <name val="Calibri"/>
      <family val="2"/>
      <scheme val="minor"/>
    </font>
    <font>
      <b/>
      <sz val="12"/>
      <color rgb="FFFFC000"/>
      <name val="Calibri"/>
    </font>
    <font>
      <b/>
      <sz val="14"/>
      <color rgb="FFFFC000"/>
      <name val="Calibri"/>
      <family val="2"/>
      <scheme val="minor"/>
    </font>
    <font>
      <b/>
      <sz val="12"/>
      <color rgb="FF000000"/>
      <name val="Calibri"/>
      <family val="2"/>
      <scheme val="minor"/>
    </font>
    <font>
      <sz val="11"/>
      <color theme="1"/>
      <name val="Calibri"/>
    </font>
    <font>
      <sz val="8"/>
      <color rgb="FF333333"/>
      <name val="Arial"/>
      <family val="2"/>
    </font>
    <font>
      <b/>
      <sz val="11"/>
      <color rgb="FF0070C0"/>
      <name val="Calibri"/>
    </font>
    <font>
      <sz val="8"/>
      <name val="Arial"/>
      <family val="2"/>
    </font>
    <font>
      <sz val="7"/>
      <color rgb="FF000000"/>
      <name val="Arial"/>
      <family val="2"/>
    </font>
    <font>
      <sz val="12"/>
      <color theme="9" tint="-0.249977111117893"/>
      <name val="Calibri"/>
      <scheme val="minor"/>
    </font>
    <font>
      <b/>
      <sz val="12"/>
      <color theme="9" tint="-0.249977111117893"/>
      <name val="Calibri"/>
      <scheme val="minor"/>
    </font>
    <font>
      <b/>
      <i/>
      <sz val="12"/>
      <color theme="9" tint="-0.249977111117893"/>
      <name val="Calibri"/>
      <scheme val="minor"/>
    </font>
    <font>
      <sz val="11"/>
      <color theme="9" tint="-0.249977111117893"/>
      <name val="Calibri"/>
      <family val="2"/>
      <scheme val="minor"/>
    </font>
    <font>
      <b/>
      <sz val="12"/>
      <color theme="9" tint="-0.249977111117893"/>
      <name val="Calibri"/>
      <family val="2"/>
      <scheme val="minor"/>
    </font>
    <font>
      <b/>
      <sz val="14"/>
      <color theme="9" tint="-0.249977111117893"/>
      <name val="Calibri"/>
    </font>
    <font>
      <b/>
      <sz val="14"/>
      <color theme="9" tint="-0.249977111117893"/>
      <name val="Calibri"/>
      <family val="2"/>
      <scheme val="minor"/>
    </font>
    <font>
      <sz val="11"/>
      <color rgb="FF548235"/>
      <name val="Calibri"/>
    </font>
    <font>
      <b/>
      <sz val="12"/>
      <color rgb="FF548235"/>
      <name val="Calibri"/>
    </font>
    <font>
      <i/>
      <sz val="11"/>
      <color rgb="FFFF0000"/>
      <name val="Calibri"/>
    </font>
    <font>
      <b/>
      <i/>
      <sz val="11"/>
      <color rgb="FF000000"/>
      <name val="Calibri"/>
      <scheme val="minor"/>
    </font>
    <font>
      <sz val="12"/>
      <color rgb="FF000000"/>
      <name val="Calibri"/>
    </font>
    <font>
      <b/>
      <i/>
      <sz val="12"/>
      <color rgb="FF000000"/>
      <name val="Calibri"/>
    </font>
    <font>
      <sz val="8"/>
      <color theme="0"/>
      <name val="Arial"/>
      <family val="2"/>
    </font>
    <font>
      <b/>
      <i/>
      <sz val="11"/>
      <color theme="1"/>
      <name val="Calibri"/>
      <family val="2"/>
      <scheme val="minor"/>
    </font>
    <font>
      <b/>
      <sz val="11"/>
      <color rgb="FF444444"/>
      <name val="Calibri"/>
      <family val="2"/>
      <charset val="1"/>
    </font>
    <font>
      <b/>
      <sz val="11"/>
      <color rgb="FF444444"/>
      <name val="Calibri"/>
      <charset val="1"/>
    </font>
    <font>
      <b/>
      <sz val="11"/>
      <color rgb="FF7030A0"/>
      <name val="Calibri"/>
      <family val="2"/>
      <scheme val="minor"/>
    </font>
    <font>
      <sz val="11"/>
      <color rgb="FF7030A0"/>
      <name val="Calibri"/>
      <family val="2"/>
      <scheme val="minor"/>
    </font>
    <font>
      <u/>
      <sz val="11"/>
      <color rgb="FF000000"/>
      <name val="Calibri"/>
      <family val="2"/>
      <scheme val="minor"/>
    </font>
    <font>
      <sz val="11"/>
      <color rgb="FF7030A0"/>
      <name val="Calibri"/>
      <family val="2"/>
      <charset val="1"/>
    </font>
    <font>
      <sz val="11"/>
      <color rgb="FF7030A0"/>
      <name val="Calibri"/>
      <charset val="1"/>
    </font>
    <font>
      <b/>
      <sz val="11"/>
      <color theme="5" tint="-0.249977111117893"/>
      <name val="Calibri"/>
      <family val="2"/>
      <scheme val="minor"/>
    </font>
    <font>
      <sz val="11"/>
      <color theme="5" tint="-0.249977111117893"/>
      <name val="Calibri"/>
      <family val="2"/>
      <scheme val="minor"/>
    </font>
    <font>
      <sz val="11"/>
      <color theme="5" tint="-0.249977111117893"/>
      <name val="Calibri"/>
      <family val="2"/>
      <charset val="1"/>
    </font>
    <font>
      <b/>
      <sz val="11"/>
      <color theme="1"/>
      <name val="Calibri"/>
      <scheme val="minor"/>
    </font>
    <font>
      <b/>
      <sz val="11"/>
      <color rgb="FFC65911"/>
      <name val="Calibri"/>
      <scheme val="minor"/>
    </font>
    <font>
      <b/>
      <sz val="11"/>
      <color rgb="FF7030A0"/>
      <name val="Calibri"/>
      <scheme val="minor"/>
    </font>
    <font>
      <b/>
      <sz val="11"/>
      <color rgb="FF00B050"/>
      <name val="Calibri"/>
    </font>
    <font>
      <sz val="11"/>
      <color rgb="FF000000"/>
      <name val="Open Sans"/>
      <family val="1"/>
      <charset val="1"/>
    </font>
    <font>
      <sz val="11"/>
      <color rgb="FF000000"/>
      <name val="Open Sans"/>
    </font>
    <font>
      <sz val="8"/>
      <color rgb="FF000000"/>
      <name val="Open Sans"/>
    </font>
    <font>
      <b/>
      <sz val="11"/>
      <color rgb="FFFF0000"/>
      <name val="Calibri"/>
      <scheme val="minor"/>
    </font>
  </fonts>
  <fills count="23">
    <fill>
      <patternFill patternType="none"/>
    </fill>
    <fill>
      <patternFill patternType="gray125"/>
    </fill>
    <fill>
      <patternFill patternType="solid">
        <fgColor theme="0" tint="-4.9989318521683403E-2"/>
        <bgColor indexed="64"/>
      </patternFill>
    </fill>
    <fill>
      <patternFill patternType="solid">
        <fgColor theme="0" tint="-0.14999847407452621"/>
        <bgColor indexed="64"/>
      </patternFill>
    </fill>
    <fill>
      <patternFill patternType="solid">
        <fgColor theme="0"/>
        <bgColor indexed="64"/>
      </patternFill>
    </fill>
    <fill>
      <patternFill patternType="solid">
        <fgColor theme="8" tint="0.79998168889431442"/>
        <bgColor indexed="64"/>
      </patternFill>
    </fill>
    <fill>
      <patternFill patternType="solid">
        <fgColor rgb="FFFFFF00"/>
        <bgColor indexed="64"/>
      </patternFill>
    </fill>
    <fill>
      <patternFill patternType="solid">
        <fgColor theme="2" tint="-0.249977111117893"/>
        <bgColor indexed="64"/>
      </patternFill>
    </fill>
    <fill>
      <patternFill patternType="solid">
        <fgColor theme="1" tint="0.499984740745262"/>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rgb="FFE7E6E6"/>
        <bgColor rgb="FF000000"/>
      </patternFill>
    </fill>
    <fill>
      <patternFill patternType="solid">
        <fgColor rgb="FF92D050"/>
        <bgColor indexed="64"/>
      </patternFill>
    </fill>
    <fill>
      <patternFill patternType="solid">
        <fgColor rgb="FFED8585"/>
        <bgColor indexed="64"/>
      </patternFill>
    </fill>
    <fill>
      <patternFill patternType="solid">
        <fgColor theme="5" tint="0.39997558519241921"/>
        <bgColor indexed="64"/>
      </patternFill>
    </fill>
    <fill>
      <patternFill patternType="solid">
        <fgColor theme="4" tint="0.79998168889431442"/>
        <bgColor indexed="64"/>
      </patternFill>
    </fill>
    <fill>
      <patternFill patternType="solid">
        <fgColor theme="9" tint="0.59999389629810485"/>
        <bgColor indexed="64"/>
      </patternFill>
    </fill>
    <fill>
      <patternFill patternType="solid">
        <fgColor rgb="FFFF0000"/>
        <bgColor indexed="64"/>
      </patternFill>
    </fill>
    <fill>
      <patternFill patternType="solid">
        <fgColor theme="7"/>
        <bgColor indexed="64"/>
      </patternFill>
    </fill>
    <fill>
      <patternFill patternType="solid">
        <fgColor theme="4" tint="0.59999389629810485"/>
        <bgColor indexed="64"/>
      </patternFill>
    </fill>
    <fill>
      <patternFill patternType="solid">
        <fgColor rgb="FF00B050"/>
        <bgColor indexed="64"/>
      </patternFill>
    </fill>
    <fill>
      <patternFill patternType="solid">
        <fgColor theme="5"/>
        <bgColor indexed="64"/>
      </patternFill>
    </fill>
  </fills>
  <borders count="80">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top/>
      <bottom style="thin">
        <color rgb="FF000000"/>
      </bottom>
      <diagonal/>
    </border>
    <border>
      <left style="thin">
        <color rgb="FF000000"/>
      </left>
      <right style="thin">
        <color rgb="FF000000"/>
      </right>
      <top/>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indexed="64"/>
      </right>
      <top style="medium">
        <color indexed="64"/>
      </top>
      <bottom style="thin">
        <color indexed="64"/>
      </bottom>
      <diagonal/>
    </border>
    <border>
      <left/>
      <right style="thin">
        <color indexed="64"/>
      </right>
      <top/>
      <bottom style="thin">
        <color indexed="64"/>
      </bottom>
      <diagonal/>
    </border>
    <border>
      <left style="medium">
        <color rgb="FF000000"/>
      </left>
      <right style="thin">
        <color indexed="64"/>
      </right>
      <top style="medium">
        <color indexed="64"/>
      </top>
      <bottom style="thin">
        <color indexed="64"/>
      </bottom>
      <diagonal/>
    </border>
    <border>
      <left/>
      <right style="medium">
        <color rgb="FF000000"/>
      </right>
      <top style="medium">
        <color indexed="64"/>
      </top>
      <bottom style="thin">
        <color indexed="64"/>
      </bottom>
      <diagonal/>
    </border>
    <border>
      <left style="medium">
        <color rgb="FF000000"/>
      </left>
      <right style="thin">
        <color indexed="64"/>
      </right>
      <top/>
      <bottom style="thin">
        <color indexed="64"/>
      </bottom>
      <diagonal/>
    </border>
    <border>
      <left/>
      <right style="medium">
        <color rgb="FF000000"/>
      </right>
      <top/>
      <bottom style="thin">
        <color indexed="64"/>
      </bottom>
      <diagonal/>
    </border>
    <border>
      <left style="medium">
        <color rgb="FF000000"/>
      </left>
      <right style="thin">
        <color indexed="64"/>
      </right>
      <top/>
      <bottom style="medium">
        <color rgb="FF000000"/>
      </bottom>
      <diagonal/>
    </border>
    <border>
      <left/>
      <right style="thin">
        <color indexed="64"/>
      </right>
      <top/>
      <bottom style="medium">
        <color rgb="FF000000"/>
      </bottom>
      <diagonal/>
    </border>
    <border>
      <left/>
      <right style="medium">
        <color rgb="FF000000"/>
      </right>
      <top/>
      <bottom style="medium">
        <color rgb="FF000000"/>
      </bottom>
      <diagonal/>
    </border>
    <border>
      <left style="medium">
        <color indexed="64"/>
      </left>
      <right/>
      <top style="medium">
        <color indexed="64"/>
      </top>
      <bottom style="thin">
        <color indexed="64"/>
      </bottom>
      <diagonal/>
    </border>
    <border>
      <left style="medium">
        <color indexed="64"/>
      </left>
      <right/>
      <top/>
      <bottom/>
      <diagonal/>
    </border>
    <border>
      <left style="medium">
        <color indexed="64"/>
      </left>
      <right/>
      <top style="medium">
        <color indexed="64"/>
      </top>
      <bottom/>
      <diagonal/>
    </border>
    <border>
      <left style="medium">
        <color indexed="64"/>
      </left>
      <right/>
      <top style="medium">
        <color indexed="64"/>
      </top>
      <bottom style="medium">
        <color indexed="64"/>
      </bottom>
      <diagonal/>
    </border>
    <border>
      <left style="medium">
        <color indexed="64"/>
      </left>
      <right/>
      <top/>
      <bottom style="medium">
        <color indexed="64"/>
      </bottom>
      <diagonal/>
    </border>
    <border>
      <left/>
      <right/>
      <top/>
      <bottom style="medium">
        <color rgb="FF000000"/>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thin">
        <color indexed="64"/>
      </right>
      <top/>
      <bottom/>
      <diagonal/>
    </border>
    <border>
      <left/>
      <right style="thin">
        <color indexed="64"/>
      </right>
      <top/>
      <bottom/>
      <diagonal/>
    </border>
    <border>
      <left/>
      <right style="medium">
        <color rgb="FF000000"/>
      </right>
      <top/>
      <bottom/>
      <diagonal/>
    </border>
    <border>
      <left style="medium">
        <color rgb="FF000000"/>
      </left>
      <right style="medium">
        <color rgb="FF000000"/>
      </right>
      <top/>
      <bottom style="thin">
        <color rgb="FFFFFFFF"/>
      </bottom>
      <diagonal/>
    </border>
    <border>
      <left style="medium">
        <color rgb="FF000000"/>
      </left>
      <right style="medium">
        <color rgb="FF000000"/>
      </right>
      <top/>
      <bottom style="medium">
        <color rgb="FF000000"/>
      </bottom>
      <diagonal/>
    </border>
    <border>
      <left/>
      <right/>
      <top/>
      <bottom style="thin">
        <color rgb="FFFFFFFF"/>
      </bottom>
      <diagonal/>
    </border>
    <border>
      <left style="medium">
        <color rgb="FF000000"/>
      </left>
      <right/>
      <top style="medium">
        <color rgb="FF000000"/>
      </top>
      <bottom style="thin">
        <color rgb="FFFFFFFF"/>
      </bottom>
      <diagonal/>
    </border>
    <border>
      <left style="medium">
        <color rgb="FF000000"/>
      </left>
      <right/>
      <top/>
      <bottom style="thin">
        <color rgb="FFFFFFFF"/>
      </bottom>
      <diagonal/>
    </border>
    <border>
      <left style="medium">
        <color rgb="FF000000"/>
      </left>
      <right/>
      <top/>
      <bottom style="medium">
        <color rgb="FF000000"/>
      </bottom>
      <diagonal/>
    </border>
    <border>
      <left style="medium">
        <color rgb="FF000000"/>
      </left>
      <right style="medium">
        <color rgb="FF000000"/>
      </right>
      <top/>
      <bottom/>
      <diagonal/>
    </border>
    <border>
      <left style="medium">
        <color rgb="FF000000"/>
      </left>
      <right style="medium">
        <color rgb="FF000000"/>
      </right>
      <top style="medium">
        <color rgb="FF000000"/>
      </top>
      <bottom style="medium">
        <color rgb="FF000000"/>
      </bottom>
      <diagonal/>
    </border>
    <border>
      <left style="medium">
        <color rgb="FF000000"/>
      </left>
      <right/>
      <top/>
      <bottom/>
      <diagonal/>
    </border>
    <border>
      <left style="medium">
        <color rgb="FF000000"/>
      </left>
      <right style="medium">
        <color rgb="FF000000"/>
      </right>
      <top style="medium">
        <color rgb="FF000000"/>
      </top>
      <bottom/>
      <diagonal/>
    </border>
    <border>
      <left style="medium">
        <color rgb="FF000000"/>
      </left>
      <right/>
      <top style="medium">
        <color rgb="FF000000"/>
      </top>
      <bottom/>
      <diagonal/>
    </border>
    <border>
      <left/>
      <right/>
      <top style="medium">
        <color rgb="FF000000"/>
      </top>
      <bottom/>
      <diagonal/>
    </border>
    <border>
      <left style="medium">
        <color rgb="FF000000"/>
      </left>
      <right/>
      <top style="medium">
        <color rgb="FF000000"/>
      </top>
      <bottom style="hair">
        <color rgb="FFD9D9D9"/>
      </bottom>
      <diagonal/>
    </border>
    <border>
      <left/>
      <right style="medium">
        <color rgb="FF000000"/>
      </right>
      <top style="medium">
        <color rgb="FF000000"/>
      </top>
      <bottom/>
      <diagonal/>
    </border>
    <border>
      <left style="medium">
        <color rgb="FF000000"/>
      </left>
      <right/>
      <top/>
      <bottom style="thin">
        <color rgb="FF000000"/>
      </bottom>
      <diagonal/>
    </border>
    <border>
      <left/>
      <right style="medium">
        <color rgb="FF000000"/>
      </right>
      <top/>
      <bottom style="thin">
        <color rgb="FF000000"/>
      </bottom>
      <diagonal/>
    </border>
    <border>
      <left style="medium">
        <color rgb="FF000000"/>
      </left>
      <right/>
      <top/>
      <bottom style="double">
        <color rgb="FF000000"/>
      </bottom>
      <diagonal/>
    </border>
    <border>
      <left/>
      <right/>
      <top/>
      <bottom style="double">
        <color rgb="FF000000"/>
      </bottom>
      <diagonal/>
    </border>
    <border>
      <left/>
      <right style="medium">
        <color rgb="FF000000"/>
      </right>
      <top/>
      <bottom style="double">
        <color rgb="FF000000"/>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style="thin">
        <color rgb="FF000000"/>
      </left>
      <right/>
      <top/>
      <bottom style="medium">
        <color rgb="FF000000"/>
      </bottom>
      <diagonal/>
    </border>
    <border>
      <left style="thin">
        <color rgb="FF000000"/>
      </left>
      <right style="thin">
        <color rgb="FF000000"/>
      </right>
      <top/>
      <bottom style="medium">
        <color rgb="FF000000"/>
      </bottom>
      <diagonal/>
    </border>
    <border>
      <left style="thin">
        <color rgb="FF000000"/>
      </left>
      <right style="thin">
        <color rgb="FF000000"/>
      </right>
      <top style="medium">
        <color rgb="FF000000"/>
      </top>
      <bottom/>
      <diagonal/>
    </border>
    <border>
      <left style="medium">
        <color rgb="FF000000"/>
      </left>
      <right style="thin">
        <color rgb="FF000000"/>
      </right>
      <top style="medium">
        <color rgb="FF000000"/>
      </top>
      <bottom/>
      <diagonal/>
    </border>
    <border>
      <left style="thin">
        <color rgb="FF000000"/>
      </left>
      <right style="medium">
        <color rgb="FF000000"/>
      </right>
      <top style="medium">
        <color rgb="FF000000"/>
      </top>
      <bottom/>
      <diagonal/>
    </border>
    <border>
      <left/>
      <right style="thin">
        <color rgb="FF000000"/>
      </right>
      <top style="medium">
        <color rgb="FF000000"/>
      </top>
      <bottom style="thin">
        <color rgb="FF000000"/>
      </bottom>
      <diagonal/>
    </border>
    <border>
      <left/>
      <right style="thin">
        <color rgb="FF000000"/>
      </right>
      <top style="thin">
        <color rgb="FF000000"/>
      </top>
      <bottom style="medium">
        <color rgb="FF000000"/>
      </bottom>
      <diagonal/>
    </border>
    <border>
      <left style="medium">
        <color rgb="FF000000"/>
      </left>
      <right/>
      <top style="thin">
        <color rgb="FF000000"/>
      </top>
      <bottom style="thin">
        <color rgb="FF000000"/>
      </bottom>
      <diagonal/>
    </border>
    <border>
      <left style="medium">
        <color rgb="FF000000"/>
      </left>
      <right/>
      <top style="thin">
        <color rgb="FF000000"/>
      </top>
      <bottom style="medium">
        <color rgb="FF000000"/>
      </bottom>
      <diagonal/>
    </border>
    <border>
      <left/>
      <right style="medium">
        <color rgb="FF000000"/>
      </right>
      <top style="thin">
        <color rgb="FF000000"/>
      </top>
      <bottom style="thin">
        <color rgb="FF000000"/>
      </bottom>
      <diagonal/>
    </border>
    <border>
      <left/>
      <right style="medium">
        <color rgb="FF000000"/>
      </right>
      <top style="thin">
        <color rgb="FF000000"/>
      </top>
      <bottom style="medium">
        <color rgb="FF000000"/>
      </bottom>
      <diagonal/>
    </border>
    <border>
      <left style="medium">
        <color rgb="FF000000"/>
      </left>
      <right style="thin">
        <color rgb="FF000000"/>
      </right>
      <top/>
      <bottom style="thin">
        <color rgb="FF000000"/>
      </bottom>
      <diagonal/>
    </border>
    <border>
      <left style="thin">
        <color rgb="FF000000"/>
      </left>
      <right style="medium">
        <color rgb="FF000000"/>
      </right>
      <top/>
      <bottom style="thin">
        <color rgb="FF000000"/>
      </bottom>
      <diagonal/>
    </border>
    <border>
      <left style="medium">
        <color rgb="FF000000"/>
      </left>
      <right style="medium">
        <color rgb="FF000000"/>
      </right>
      <top/>
      <bottom style="thin">
        <color rgb="FF000000"/>
      </bottom>
      <diagonal/>
    </border>
    <border>
      <left style="medium">
        <color rgb="FF000000"/>
      </left>
      <right style="thin">
        <color rgb="FF000000"/>
      </right>
      <top style="thin">
        <color rgb="FF000000"/>
      </top>
      <bottom/>
      <diagonal/>
    </border>
    <border>
      <left style="thin">
        <color rgb="FF000000"/>
      </left>
      <right style="medium">
        <color rgb="FF000000"/>
      </right>
      <top style="thin">
        <color rgb="FF000000"/>
      </top>
      <bottom/>
      <diagonal/>
    </border>
  </borders>
  <cellStyleXfs count="2">
    <xf numFmtId="0" fontId="0" fillId="0" borderId="0"/>
    <xf numFmtId="0" fontId="5" fillId="0" borderId="0" applyNumberFormat="0" applyFill="0" applyBorder="0" applyAlignment="0" applyProtection="0"/>
  </cellStyleXfs>
  <cellXfs count="820">
    <xf numFmtId="0" fontId="0" fillId="0" borderId="0" xfId="0"/>
    <xf numFmtId="0" fontId="0" fillId="2" borderId="0" xfId="0" applyFill="1"/>
    <xf numFmtId="0" fontId="0" fillId="3" borderId="0" xfId="0" applyFill="1"/>
    <xf numFmtId="0" fontId="0" fillId="0" borderId="0" xfId="0" applyAlignment="1">
      <alignment horizontal="center" vertical="center"/>
    </xf>
    <xf numFmtId="0" fontId="3" fillId="0" borderId="0" xfId="0" applyFont="1"/>
    <xf numFmtId="0" fontId="3" fillId="2" borderId="0" xfId="0" applyFont="1" applyFill="1"/>
    <xf numFmtId="0" fontId="3" fillId="3" borderId="0" xfId="0" applyFont="1" applyFill="1"/>
    <xf numFmtId="0" fontId="2" fillId="0" borderId="0" xfId="0" applyFont="1"/>
    <xf numFmtId="0" fontId="4" fillId="0" borderId="0" xfId="0" applyFont="1"/>
    <xf numFmtId="0" fontId="0" fillId="0" borderId="0" xfId="0" applyAlignment="1">
      <alignment wrapText="1"/>
    </xf>
    <xf numFmtId="0" fontId="0" fillId="4" borderId="0" xfId="0" applyFill="1" applyAlignment="1">
      <alignment wrapText="1"/>
    </xf>
    <xf numFmtId="0" fontId="0" fillId="0" borderId="1" xfId="0" applyBorder="1" applyAlignment="1">
      <alignment wrapText="1"/>
    </xf>
    <xf numFmtId="0" fontId="0" fillId="0" borderId="1" xfId="0" applyBorder="1" applyAlignment="1">
      <alignment vertical="center" wrapText="1"/>
    </xf>
    <xf numFmtId="0" fontId="0" fillId="0" borderId="1" xfId="0" applyBorder="1" applyAlignment="1">
      <alignment horizontal="center" vertical="center" wrapText="1"/>
    </xf>
    <xf numFmtId="0" fontId="5" fillId="0" borderId="0" xfId="1" applyAlignment="1"/>
    <xf numFmtId="0" fontId="5" fillId="0" borderId="0" xfId="1"/>
    <xf numFmtId="0" fontId="0" fillId="0" borderId="1" xfId="0" applyBorder="1"/>
    <xf numFmtId="0" fontId="0" fillId="3" borderId="1" xfId="0" applyFill="1" applyBorder="1"/>
    <xf numFmtId="0" fontId="6" fillId="0" borderId="0" xfId="0" applyFont="1"/>
    <xf numFmtId="0" fontId="7" fillId="0" borderId="0" xfId="0" applyFont="1"/>
    <xf numFmtId="0" fontId="6" fillId="2" borderId="0" xfId="0" applyFont="1" applyFill="1"/>
    <xf numFmtId="0" fontId="4" fillId="0" borderId="0" xfId="0" applyFont="1" applyAlignment="1">
      <alignment vertical="center"/>
    </xf>
    <xf numFmtId="0" fontId="3" fillId="0" borderId="0" xfId="0" applyFont="1" applyAlignment="1">
      <alignment vertical="center" wrapText="1"/>
    </xf>
    <xf numFmtId="0" fontId="2" fillId="3" borderId="1" xfId="0" applyFont="1" applyFill="1" applyBorder="1"/>
    <xf numFmtId="0" fontId="4" fillId="5" borderId="0" xfId="0" applyFont="1" applyFill="1"/>
    <xf numFmtId="0" fontId="4" fillId="5" borderId="0" xfId="0" applyFont="1" applyFill="1" applyAlignment="1">
      <alignment horizontal="center"/>
    </xf>
    <xf numFmtId="0" fontId="3" fillId="0" borderId="0" xfId="0" applyFont="1" applyAlignment="1">
      <alignment vertical="center"/>
    </xf>
    <xf numFmtId="0" fontId="8" fillId="2" borderId="0" xfId="0" applyFont="1" applyFill="1"/>
    <xf numFmtId="0" fontId="2" fillId="2" borderId="0" xfId="0" applyFont="1" applyFill="1"/>
    <xf numFmtId="0" fontId="9" fillId="0" borderId="0" xfId="0" applyFont="1"/>
    <xf numFmtId="0" fontId="9" fillId="3" borderId="1" xfId="0" applyFont="1" applyFill="1" applyBorder="1"/>
    <xf numFmtId="0" fontId="2" fillId="0" borderId="0" xfId="0" applyFont="1" applyAlignment="1">
      <alignment wrapText="1"/>
    </xf>
    <xf numFmtId="0" fontId="4" fillId="6" borderId="0" xfId="0" applyFont="1" applyFill="1"/>
    <xf numFmtId="0" fontId="2" fillId="6" borderId="0" xfId="0" applyFont="1" applyFill="1"/>
    <xf numFmtId="0" fontId="10" fillId="0" borderId="0" xfId="0" applyFont="1"/>
    <xf numFmtId="0" fontId="2" fillId="5" borderId="0" xfId="0" applyFont="1" applyFill="1"/>
    <xf numFmtId="0" fontId="0" fillId="5" borderId="0" xfId="0" applyFill="1"/>
    <xf numFmtId="0" fontId="11" fillId="0" borderId="0" xfId="0" applyFont="1"/>
    <xf numFmtId="0" fontId="11" fillId="0" borderId="1" xfId="0" applyFont="1" applyBorder="1" applyAlignment="1">
      <alignment horizontal="center"/>
    </xf>
    <xf numFmtId="0" fontId="0" fillId="0" borderId="1" xfId="0" applyBorder="1" applyAlignment="1">
      <alignment horizontal="center"/>
    </xf>
    <xf numFmtId="0" fontId="0" fillId="0" borderId="0" xfId="0" applyAlignment="1">
      <alignment horizontal="center"/>
    </xf>
    <xf numFmtId="0" fontId="13" fillId="0" borderId="0" xfId="0" applyFont="1" applyAlignment="1">
      <alignment horizontal="left" wrapText="1"/>
    </xf>
    <xf numFmtId="0" fontId="4" fillId="0" borderId="0" xfId="0" applyFont="1" applyAlignment="1">
      <alignment horizontal="center" vertical="center"/>
    </xf>
    <xf numFmtId="0" fontId="0" fillId="0" borderId="0" xfId="0" applyAlignment="1">
      <alignment horizontal="right"/>
    </xf>
    <xf numFmtId="0" fontId="2" fillId="3" borderId="1" xfId="0" applyFont="1" applyFill="1" applyBorder="1" applyAlignment="1">
      <alignment horizontal="center"/>
    </xf>
    <xf numFmtId="0" fontId="0" fillId="0" borderId="0" xfId="0" applyAlignment="1">
      <alignment vertical="top"/>
    </xf>
    <xf numFmtId="0" fontId="0" fillId="0" borderId="0" xfId="0" applyAlignment="1">
      <alignment horizontal="right" vertical="top"/>
    </xf>
    <xf numFmtId="0" fontId="0" fillId="0" borderId="0" xfId="0" applyAlignment="1">
      <alignment horizontal="center" vertical="top"/>
    </xf>
    <xf numFmtId="0" fontId="0" fillId="0" borderId="0" xfId="0" applyAlignment="1">
      <alignment horizontal="left" vertical="top" wrapText="1"/>
    </xf>
    <xf numFmtId="0" fontId="0" fillId="0" borderId="0" xfId="0" applyAlignment="1">
      <alignment horizontal="left" vertical="center"/>
    </xf>
    <xf numFmtId="0" fontId="0" fillId="0" borderId="0" xfId="0" applyAlignment="1">
      <alignment vertical="center"/>
    </xf>
    <xf numFmtId="0" fontId="4" fillId="0" borderId="0" xfId="0" applyFont="1" applyAlignment="1">
      <alignment horizontal="center"/>
    </xf>
    <xf numFmtId="0" fontId="2" fillId="6" borderId="1" xfId="0" applyFont="1" applyFill="1" applyBorder="1" applyAlignment="1">
      <alignment horizontal="center"/>
    </xf>
    <xf numFmtId="0" fontId="14" fillId="5" borderId="0" xfId="0" applyFont="1" applyFill="1" applyAlignment="1">
      <alignment horizontal="left" vertical="center"/>
    </xf>
    <xf numFmtId="0" fontId="15" fillId="5" borderId="0" xfId="0" applyFont="1" applyFill="1" applyAlignment="1">
      <alignment horizontal="left" vertical="center"/>
    </xf>
    <xf numFmtId="0" fontId="13" fillId="5" borderId="0" xfId="0" applyFont="1" applyFill="1" applyAlignment="1">
      <alignment horizontal="left" vertical="center"/>
    </xf>
    <xf numFmtId="0" fontId="0" fillId="5" borderId="7" xfId="0" applyFill="1" applyBorder="1" applyAlignment="1">
      <alignment horizontal="left" vertical="center" wrapText="1"/>
    </xf>
    <xf numFmtId="3" fontId="16" fillId="0" borderId="0" xfId="0" applyNumberFormat="1" applyFont="1"/>
    <xf numFmtId="0" fontId="0" fillId="7" borderId="1" xfId="0" applyFill="1" applyBorder="1"/>
    <xf numFmtId="0" fontId="3" fillId="8" borderId="0" xfId="0" applyFont="1" applyFill="1"/>
    <xf numFmtId="0" fontId="0" fillId="8" borderId="0" xfId="0" applyFill="1"/>
    <xf numFmtId="0" fontId="0" fillId="8" borderId="0" xfId="0" applyFill="1" applyAlignment="1">
      <alignment horizontal="center"/>
    </xf>
    <xf numFmtId="0" fontId="0" fillId="7" borderId="1" xfId="0" applyFill="1" applyBorder="1" applyAlignment="1">
      <alignment horizontal="center" vertical="center"/>
    </xf>
    <xf numFmtId="0" fontId="11" fillId="0" borderId="1" xfId="0" applyFont="1" applyBorder="1" applyAlignment="1">
      <alignment horizontal="center" vertical="center"/>
    </xf>
    <xf numFmtId="0" fontId="0" fillId="0" borderId="1" xfId="0" applyBorder="1" applyAlignment="1">
      <alignment horizontal="center" vertical="center"/>
    </xf>
    <xf numFmtId="0" fontId="18" fillId="0" borderId="0" xfId="0" applyFont="1"/>
    <xf numFmtId="0" fontId="11" fillId="0" borderId="6" xfId="0" applyFont="1" applyBorder="1" applyAlignment="1">
      <alignment horizontal="center" vertical="center"/>
    </xf>
    <xf numFmtId="0" fontId="0" fillId="0" borderId="3" xfId="0" applyBorder="1" applyAlignment="1">
      <alignment horizontal="center" vertical="center"/>
    </xf>
    <xf numFmtId="0" fontId="0" fillId="3" borderId="1" xfId="0" applyFill="1" applyBorder="1" applyAlignment="1">
      <alignment horizontal="center" vertical="center"/>
    </xf>
    <xf numFmtId="0" fontId="11" fillId="0" borderId="3" xfId="0" applyFont="1" applyBorder="1" applyAlignment="1">
      <alignment horizontal="center" vertical="center"/>
    </xf>
    <xf numFmtId="0" fontId="13" fillId="0" borderId="0" xfId="0" applyFont="1" applyAlignment="1">
      <alignment horizontal="center" vertical="center"/>
    </xf>
    <xf numFmtId="11" fontId="0" fillId="0" borderId="0" xfId="0" applyNumberFormat="1"/>
    <xf numFmtId="0" fontId="13" fillId="5" borderId="0" xfId="0" applyFont="1" applyFill="1" applyAlignment="1">
      <alignment vertical="center"/>
    </xf>
    <xf numFmtId="0" fontId="0" fillId="5" borderId="0" xfId="0" applyFill="1" applyAlignment="1">
      <alignment vertical="center"/>
    </xf>
    <xf numFmtId="0" fontId="0" fillId="5" borderId="0" xfId="0" applyFill="1" applyAlignment="1">
      <alignment horizontal="center" vertical="center"/>
    </xf>
    <xf numFmtId="0" fontId="0" fillId="0" borderId="0" xfId="0" applyAlignment="1">
      <alignment horizontal="left" vertical="center" wrapText="1"/>
    </xf>
    <xf numFmtId="0" fontId="16" fillId="0" borderId="0" xfId="0" applyFont="1"/>
    <xf numFmtId="0" fontId="21" fillId="0" borderId="0" xfId="0" applyFont="1" applyAlignment="1">
      <alignment vertical="center"/>
    </xf>
    <xf numFmtId="0" fontId="0" fillId="6" borderId="0" xfId="0" applyFill="1"/>
    <xf numFmtId="0" fontId="22" fillId="0" borderId="0" xfId="0" applyFont="1" applyAlignment="1">
      <alignment vertical="center"/>
    </xf>
    <xf numFmtId="0" fontId="0" fillId="9" borderId="0" xfId="0" applyFill="1"/>
    <xf numFmtId="0" fontId="22" fillId="0" borderId="0" xfId="0" applyFont="1" applyAlignment="1">
      <alignment horizontal="left" vertical="center"/>
    </xf>
    <xf numFmtId="0" fontId="12" fillId="0" borderId="0" xfId="0" applyFont="1"/>
    <xf numFmtId="0" fontId="21" fillId="0" borderId="0" xfId="0" applyFont="1"/>
    <xf numFmtId="0" fontId="12" fillId="9" borderId="0" xfId="0" applyFont="1" applyFill="1"/>
    <xf numFmtId="0" fontId="24" fillId="0" borderId="0" xfId="0" applyFont="1"/>
    <xf numFmtId="0" fontId="10" fillId="8" borderId="0" xfId="0" applyFont="1" applyFill="1" applyAlignment="1">
      <alignment horizontal="left" vertical="center"/>
    </xf>
    <xf numFmtId="0" fontId="10" fillId="8" borderId="0" xfId="0" applyFont="1" applyFill="1"/>
    <xf numFmtId="0" fontId="2" fillId="0" borderId="0" xfId="0" applyFont="1" applyAlignment="1">
      <alignment horizontal="left" vertical="center"/>
    </xf>
    <xf numFmtId="0" fontId="0" fillId="8" borderId="0" xfId="0" applyFill="1" applyAlignment="1">
      <alignment horizontal="left" vertical="center"/>
    </xf>
    <xf numFmtId="0" fontId="0" fillId="0" borderId="0" xfId="0" applyAlignment="1">
      <alignment horizontal="left"/>
    </xf>
    <xf numFmtId="0" fontId="22" fillId="0" borderId="0" xfId="0" applyFont="1"/>
    <xf numFmtId="0" fontId="18" fillId="0" borderId="0" xfId="0" applyFont="1" applyAlignment="1">
      <alignment horizontal="left" vertical="top" wrapText="1"/>
    </xf>
    <xf numFmtId="0" fontId="2" fillId="0" borderId="0" xfId="0" applyFont="1" applyAlignment="1">
      <alignment horizontal="center"/>
    </xf>
    <xf numFmtId="0" fontId="2" fillId="3" borderId="0" xfId="0" applyFont="1" applyFill="1" applyAlignment="1">
      <alignment horizontal="center"/>
    </xf>
    <xf numFmtId="0" fontId="2" fillId="3" borderId="0" xfId="0" applyFont="1" applyFill="1"/>
    <xf numFmtId="0" fontId="2" fillId="0" borderId="0" xfId="0" applyFont="1" applyAlignment="1">
      <alignment horizontal="center" vertical="top"/>
    </xf>
    <xf numFmtId="0" fontId="26" fillId="0" borderId="0" xfId="0" applyFont="1"/>
    <xf numFmtId="0" fontId="9" fillId="11" borderId="0" xfId="0" applyFont="1" applyFill="1"/>
    <xf numFmtId="0" fontId="0" fillId="11" borderId="0" xfId="0" applyFill="1"/>
    <xf numFmtId="0" fontId="2" fillId="11" borderId="0" xfId="0" applyFont="1" applyFill="1"/>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vertical="center" wrapText="1"/>
    </xf>
    <xf numFmtId="0" fontId="0" fillId="2" borderId="0" xfId="0" applyFill="1" applyAlignment="1">
      <alignment horizontal="center" vertical="center" wrapText="1"/>
    </xf>
    <xf numFmtId="0" fontId="0" fillId="2" borderId="0" xfId="0" applyFill="1" applyAlignment="1">
      <alignment vertical="center"/>
    </xf>
    <xf numFmtId="0" fontId="17" fillId="2" borderId="0" xfId="0" applyFont="1" applyFill="1" applyAlignment="1">
      <alignment horizontal="center" vertical="center"/>
    </xf>
    <xf numFmtId="3" fontId="0" fillId="0" borderId="0" xfId="0" applyNumberFormat="1" applyAlignment="1">
      <alignment horizontal="center" vertical="center" wrapText="1"/>
    </xf>
    <xf numFmtId="0" fontId="2" fillId="0" borderId="0" xfId="0" applyFont="1" applyAlignment="1">
      <alignment vertical="center"/>
    </xf>
    <xf numFmtId="0" fontId="9" fillId="10" borderId="0" xfId="0" applyFont="1" applyFill="1"/>
    <xf numFmtId="0" fontId="9" fillId="10" borderId="0" xfId="0" applyFont="1" applyFill="1" applyAlignment="1">
      <alignment horizontal="center" vertical="center" wrapText="1"/>
    </xf>
    <xf numFmtId="0" fontId="9" fillId="10" borderId="0" xfId="0" applyFont="1" applyFill="1" applyAlignment="1">
      <alignment horizontal="right" vertical="center"/>
    </xf>
    <xf numFmtId="0" fontId="9" fillId="10" borderId="0" xfId="0" applyFont="1" applyFill="1" applyAlignment="1">
      <alignment horizontal="center"/>
    </xf>
    <xf numFmtId="0" fontId="31" fillId="10" borderId="0" xfId="0" applyFont="1" applyFill="1" applyAlignment="1">
      <alignment horizontal="center" vertical="center"/>
    </xf>
    <xf numFmtId="0" fontId="9" fillId="10" borderId="0" xfId="0" applyFont="1" applyFill="1" applyAlignment="1">
      <alignment horizontal="center" vertical="center"/>
    </xf>
    <xf numFmtId="0" fontId="9" fillId="0" borderId="0" xfId="0" applyFont="1" applyAlignment="1">
      <alignment horizontal="center" vertical="center"/>
    </xf>
    <xf numFmtId="0" fontId="9" fillId="2" borderId="0" xfId="0" applyFont="1" applyFill="1" applyAlignment="1">
      <alignment horizontal="left" vertical="center"/>
    </xf>
    <xf numFmtId="0" fontId="15" fillId="2" borderId="0" xfId="0" applyFont="1" applyFill="1" applyAlignment="1">
      <alignment horizontal="center" vertical="center"/>
    </xf>
    <xf numFmtId="0" fontId="34" fillId="10" borderId="0" xfId="0" applyFont="1" applyFill="1" applyAlignment="1">
      <alignment horizontal="left" vertical="center" wrapText="1"/>
    </xf>
    <xf numFmtId="0" fontId="33" fillId="10" borderId="7" xfId="0" applyFont="1" applyFill="1" applyBorder="1" applyAlignment="1">
      <alignment horizontal="left" vertical="center" wrapText="1"/>
    </xf>
    <xf numFmtId="0" fontId="0" fillId="10" borderId="7" xfId="0" applyFill="1" applyBorder="1" applyAlignment="1">
      <alignment horizontal="left" vertical="center" wrapText="1"/>
    </xf>
    <xf numFmtId="0" fontId="0" fillId="10" borderId="0" xfId="0" applyFill="1" applyAlignment="1">
      <alignment horizontal="left" vertical="center" wrapText="1"/>
    </xf>
    <xf numFmtId="0" fontId="31" fillId="10" borderId="7" xfId="0" applyFont="1" applyFill="1" applyBorder="1" applyAlignment="1">
      <alignment horizontal="center" vertical="center"/>
    </xf>
    <xf numFmtId="0" fontId="9" fillId="10" borderId="7" xfId="0" applyFont="1" applyFill="1" applyBorder="1" applyAlignment="1">
      <alignment horizontal="center" vertical="center"/>
    </xf>
    <xf numFmtId="0" fontId="33" fillId="0" borderId="0" xfId="0" applyFont="1" applyAlignment="1">
      <alignment vertical="center" wrapText="1"/>
    </xf>
    <xf numFmtId="0" fontId="3" fillId="0" borderId="0" xfId="0" applyFont="1" applyAlignment="1">
      <alignment horizontal="center" vertical="center"/>
    </xf>
    <xf numFmtId="0" fontId="3" fillId="0" borderId="0" xfId="0" applyFont="1" applyAlignment="1">
      <alignment horizontal="left" vertical="center"/>
    </xf>
    <xf numFmtId="0" fontId="42" fillId="0" borderId="0" xfId="0" applyFont="1"/>
    <xf numFmtId="0" fontId="18" fillId="0" borderId="16" xfId="0" applyFont="1" applyBorder="1"/>
    <xf numFmtId="0" fontId="18" fillId="0" borderId="17" xfId="0" applyFont="1" applyBorder="1"/>
    <xf numFmtId="0" fontId="43" fillId="13" borderId="0" xfId="0" applyFont="1" applyFill="1" applyAlignment="1">
      <alignment horizontal="center"/>
    </xf>
    <xf numFmtId="0" fontId="2" fillId="0" borderId="0" xfId="0" applyFont="1" applyAlignment="1">
      <alignment horizontal="center" vertical="center"/>
    </xf>
    <xf numFmtId="0" fontId="12" fillId="0" borderId="0" xfId="0" applyFont="1" applyAlignment="1">
      <alignment horizontal="center" vertical="center"/>
    </xf>
    <xf numFmtId="0" fontId="18" fillId="11" borderId="0" xfId="0" applyFont="1" applyFill="1"/>
    <xf numFmtId="0" fontId="32" fillId="11" borderId="0" xfId="0" applyFont="1" applyFill="1"/>
    <xf numFmtId="0" fontId="18" fillId="0" borderId="0" xfId="0" applyFont="1" applyAlignment="1">
      <alignment horizontal="center" vertical="center" wrapText="1"/>
    </xf>
    <xf numFmtId="0" fontId="0" fillId="2" borderId="0" xfId="0" applyFill="1" applyAlignment="1">
      <alignment horizontal="center"/>
    </xf>
    <xf numFmtId="0" fontId="0" fillId="2" borderId="0" xfId="0" applyFill="1" applyAlignment="1">
      <alignment horizontal="left"/>
    </xf>
    <xf numFmtId="0" fontId="2" fillId="2" borderId="0" xfId="0" applyFont="1" applyFill="1" applyAlignment="1">
      <alignment horizontal="center"/>
    </xf>
    <xf numFmtId="0" fontId="2" fillId="2" borderId="0" xfId="0" applyFont="1" applyFill="1" applyAlignment="1">
      <alignment horizontal="center" vertical="center"/>
    </xf>
    <xf numFmtId="0" fontId="12" fillId="0" borderId="0" xfId="0" applyFont="1" applyAlignment="1">
      <alignment horizontal="left" vertical="center"/>
    </xf>
    <xf numFmtId="0" fontId="18" fillId="0" borderId="18" xfId="0" applyFont="1" applyBorder="1"/>
    <xf numFmtId="0" fontId="18" fillId="0" borderId="19" xfId="0" applyFont="1" applyBorder="1"/>
    <xf numFmtId="0" fontId="18" fillId="0" borderId="20" xfId="0" applyFont="1" applyBorder="1"/>
    <xf numFmtId="0" fontId="18" fillId="0" borderId="21" xfId="0" applyFont="1" applyBorder="1"/>
    <xf numFmtId="0" fontId="18" fillId="12" borderId="20" xfId="0" applyFont="1" applyFill="1" applyBorder="1"/>
    <xf numFmtId="0" fontId="18" fillId="12" borderId="22" xfId="0" applyFont="1" applyFill="1" applyBorder="1"/>
    <xf numFmtId="0" fontId="18" fillId="0" borderId="23" xfId="0" applyFont="1" applyBorder="1"/>
    <xf numFmtId="0" fontId="18" fillId="0" borderId="24" xfId="0" applyFont="1" applyBorder="1"/>
    <xf numFmtId="0" fontId="18" fillId="0" borderId="25" xfId="0" applyFont="1" applyBorder="1"/>
    <xf numFmtId="0" fontId="18" fillId="0" borderId="26" xfId="0" applyFont="1" applyBorder="1"/>
    <xf numFmtId="0" fontId="18" fillId="0" borderId="27" xfId="0" applyFont="1" applyBorder="1"/>
    <xf numFmtId="0" fontId="18" fillId="0" borderId="28" xfId="0" applyFont="1" applyBorder="1"/>
    <xf numFmtId="0" fontId="18" fillId="0" borderId="29" xfId="0" applyFont="1" applyBorder="1"/>
    <xf numFmtId="0" fontId="2" fillId="3" borderId="0" xfId="0" applyFont="1" applyFill="1" applyAlignment="1">
      <alignment horizontal="left" vertical="center"/>
    </xf>
    <xf numFmtId="0" fontId="0" fillId="2" borderId="0" xfId="0" applyFill="1" applyAlignment="1">
      <alignment horizontal="left" vertical="center"/>
    </xf>
    <xf numFmtId="0" fontId="2" fillId="2" borderId="0" xfId="0" applyFont="1" applyFill="1" applyAlignment="1">
      <alignment horizontal="center" vertical="top"/>
    </xf>
    <xf numFmtId="0" fontId="13" fillId="0" borderId="0" xfId="0" applyFont="1" applyAlignment="1">
      <alignment horizontal="left" vertical="center"/>
    </xf>
    <xf numFmtId="11" fontId="13" fillId="0" borderId="0" xfId="0" applyNumberFormat="1" applyFont="1" applyAlignment="1">
      <alignment horizontal="center" vertical="center"/>
    </xf>
    <xf numFmtId="4" fontId="0" fillId="0" borderId="0" xfId="0" applyNumberFormat="1" applyAlignment="1">
      <alignment horizontal="center" vertical="center"/>
    </xf>
    <xf numFmtId="11" fontId="0" fillId="0" borderId="0" xfId="0" applyNumberFormat="1" applyAlignment="1">
      <alignment horizontal="center" vertical="center" wrapText="1"/>
    </xf>
    <xf numFmtId="11" fontId="0" fillId="0" borderId="0" xfId="0" applyNumberFormat="1" applyAlignment="1">
      <alignment horizontal="center"/>
    </xf>
    <xf numFmtId="11" fontId="0" fillId="0" borderId="0" xfId="0" applyNumberFormat="1" applyAlignment="1">
      <alignment horizontal="center" vertical="center"/>
    </xf>
    <xf numFmtId="0" fontId="0" fillId="2" borderId="0" xfId="0" applyFill="1" applyAlignment="1">
      <alignment horizontal="center" vertical="center"/>
    </xf>
    <xf numFmtId="0" fontId="18" fillId="5" borderId="0" xfId="0" applyFont="1" applyFill="1"/>
    <xf numFmtId="0" fontId="0" fillId="5" borderId="0" xfId="0" applyFill="1" applyAlignment="1">
      <alignment horizontal="center"/>
    </xf>
    <xf numFmtId="0" fontId="55" fillId="5" borderId="0" xfId="0" applyFont="1" applyFill="1"/>
    <xf numFmtId="0" fontId="13" fillId="0" borderId="0" xfId="0" applyFont="1"/>
    <xf numFmtId="0" fontId="56" fillId="0" borderId="0" xfId="0" applyFont="1"/>
    <xf numFmtId="0" fontId="18" fillId="0" borderId="34" xfId="0" applyFont="1" applyBorder="1" applyAlignment="1">
      <alignment horizontal="left"/>
    </xf>
    <xf numFmtId="0" fontId="18" fillId="0" borderId="35" xfId="0" applyFont="1" applyBorder="1" applyAlignment="1">
      <alignment horizontal="left"/>
    </xf>
    <xf numFmtId="0" fontId="18" fillId="0" borderId="36" xfId="0" applyFont="1" applyBorder="1" applyAlignment="1">
      <alignment horizontal="left"/>
    </xf>
    <xf numFmtId="0" fontId="18" fillId="14" borderId="27" xfId="0" applyFont="1" applyFill="1" applyBorder="1"/>
    <xf numFmtId="0" fontId="18" fillId="14" borderId="20" xfId="0" applyFont="1" applyFill="1" applyBorder="1"/>
    <xf numFmtId="0" fontId="18" fillId="14" borderId="17" xfId="0" applyFont="1" applyFill="1" applyBorder="1"/>
    <xf numFmtId="0" fontId="18" fillId="14" borderId="21" xfId="0" applyFont="1" applyFill="1" applyBorder="1"/>
    <xf numFmtId="0" fontId="18" fillId="14" borderId="29" xfId="0" applyFont="1" applyFill="1" applyBorder="1"/>
    <xf numFmtId="0" fontId="13" fillId="0" borderId="0" xfId="0" applyFont="1" applyAlignment="1">
      <alignment vertical="center"/>
    </xf>
    <xf numFmtId="0" fontId="57" fillId="0" borderId="47" xfId="0" applyFont="1" applyBorder="1" applyAlignment="1">
      <alignment horizontal="center" vertical="center" wrapText="1"/>
    </xf>
    <xf numFmtId="0" fontId="57" fillId="0" borderId="37" xfId="0" applyFont="1" applyBorder="1" applyAlignment="1">
      <alignment horizontal="center"/>
    </xf>
    <xf numFmtId="0" fontId="0" fillId="0" borderId="43" xfId="0" applyBorder="1"/>
    <xf numFmtId="0" fontId="57" fillId="0" borderId="38" xfId="0" applyFont="1" applyBorder="1" applyAlignment="1">
      <alignment horizontal="center"/>
    </xf>
    <xf numFmtId="0" fontId="0" fillId="0" borderId="38" xfId="0" applyBorder="1"/>
    <xf numFmtId="0" fontId="57" fillId="0" borderId="40" xfId="0" applyFont="1" applyBorder="1"/>
    <xf numFmtId="0" fontId="57" fillId="0" borderId="41" xfId="0" applyFont="1" applyBorder="1"/>
    <xf numFmtId="0" fontId="57" fillId="0" borderId="42" xfId="0" applyFont="1" applyBorder="1"/>
    <xf numFmtId="0" fontId="0" fillId="0" borderId="48" xfId="0" applyBorder="1" applyAlignment="1">
      <alignment horizontal="center" vertical="center" wrapText="1"/>
    </xf>
    <xf numFmtId="0" fontId="0" fillId="0" borderId="45" xfId="0" applyBorder="1"/>
    <xf numFmtId="0" fontId="0" fillId="0" borderId="42" xfId="0" applyBorder="1"/>
    <xf numFmtId="0" fontId="0" fillId="0" borderId="47" xfId="0" applyBorder="1" applyAlignment="1">
      <alignment horizontal="center" vertical="center"/>
    </xf>
    <xf numFmtId="0" fontId="0" fillId="0" borderId="46" xfId="0" applyBorder="1" applyAlignment="1">
      <alignment horizontal="center" vertical="center"/>
    </xf>
    <xf numFmtId="0" fontId="68" fillId="11" borderId="0" xfId="0" applyFont="1" applyFill="1"/>
    <xf numFmtId="0" fontId="64" fillId="11" borderId="0" xfId="0" applyFont="1" applyFill="1"/>
    <xf numFmtId="0" fontId="64" fillId="11" borderId="0" xfId="0" applyFont="1" applyFill="1" applyAlignment="1">
      <alignment horizontal="center"/>
    </xf>
    <xf numFmtId="0" fontId="65" fillId="11" borderId="0" xfId="0" applyFont="1" applyFill="1"/>
    <xf numFmtId="0" fontId="2" fillId="2" borderId="0" xfId="0" applyFont="1" applyFill="1" applyAlignment="1">
      <alignment horizontal="left" vertical="center"/>
    </xf>
    <xf numFmtId="0" fontId="43" fillId="0" borderId="0" xfId="0" applyFont="1"/>
    <xf numFmtId="0" fontId="2" fillId="2" borderId="0" xfId="0" applyFont="1" applyFill="1" applyAlignment="1">
      <alignment horizontal="left"/>
    </xf>
    <xf numFmtId="0" fontId="0" fillId="11" borderId="0" xfId="0" applyFill="1" applyAlignment="1">
      <alignment horizontal="center"/>
    </xf>
    <xf numFmtId="0" fontId="45" fillId="11" borderId="0" xfId="0" applyFont="1" applyFill="1"/>
    <xf numFmtId="3" fontId="59" fillId="0" borderId="49" xfId="0" applyNumberFormat="1" applyFont="1" applyBorder="1" applyAlignment="1">
      <alignment horizontal="center" vertical="center" wrapText="1"/>
    </xf>
    <xf numFmtId="1" fontId="0" fillId="0" borderId="45" xfId="0" applyNumberFormat="1" applyBorder="1" applyAlignment="1">
      <alignment horizontal="center" vertical="center"/>
    </xf>
    <xf numFmtId="1" fontId="0" fillId="0" borderId="42" xfId="0" applyNumberFormat="1" applyBorder="1" applyAlignment="1">
      <alignment horizontal="center" vertical="center"/>
    </xf>
    <xf numFmtId="0" fontId="74" fillId="0" borderId="39" xfId="0" applyFont="1" applyBorder="1" applyAlignment="1">
      <alignment horizontal="center"/>
    </xf>
    <xf numFmtId="0" fontId="74" fillId="0" borderId="30" xfId="0" applyFont="1" applyBorder="1" applyAlignment="1">
      <alignment horizontal="center"/>
    </xf>
    <xf numFmtId="0" fontId="0" fillId="0" borderId="7" xfId="0" applyBorder="1" applyAlignment="1">
      <alignment horizontal="center"/>
    </xf>
    <xf numFmtId="0" fontId="9" fillId="2" borderId="0" xfId="0" applyFont="1" applyFill="1"/>
    <xf numFmtId="0" fontId="0" fillId="0" borderId="11" xfId="0" applyBorder="1" applyAlignment="1">
      <alignment horizontal="center" vertical="center"/>
    </xf>
    <xf numFmtId="0" fontId="0" fillId="0" borderId="7" xfId="0" applyBorder="1" applyAlignment="1">
      <alignment horizontal="center" vertical="center" wrapText="1"/>
    </xf>
    <xf numFmtId="0" fontId="0" fillId="0" borderId="7" xfId="0" applyBorder="1" applyAlignment="1">
      <alignment horizontal="center" vertical="center"/>
    </xf>
    <xf numFmtId="0" fontId="0" fillId="0" borderId="7" xfId="0" applyBorder="1"/>
    <xf numFmtId="0" fontId="0" fillId="0" borderId="7" xfId="0" applyBorder="1" applyAlignment="1">
      <alignment wrapText="1"/>
    </xf>
    <xf numFmtId="0" fontId="2" fillId="2" borderId="5" xfId="0" applyFont="1" applyFill="1" applyBorder="1" applyAlignment="1">
      <alignment horizontal="center" vertical="center" wrapText="1"/>
    </xf>
    <xf numFmtId="0" fontId="0" fillId="0" borderId="5" xfId="0" applyBorder="1" applyAlignment="1">
      <alignment horizontal="center" vertical="center"/>
    </xf>
    <xf numFmtId="0" fontId="2" fillId="2" borderId="11" xfId="0" applyFont="1" applyFill="1" applyBorder="1" applyAlignment="1">
      <alignment horizontal="center" vertical="center" wrapText="1"/>
    </xf>
    <xf numFmtId="0" fontId="0" fillId="0" borderId="11" xfId="0" applyBorder="1" applyAlignment="1">
      <alignment wrapText="1"/>
    </xf>
    <xf numFmtId="0" fontId="0" fillId="0" borderId="46" xfId="0" applyBorder="1"/>
    <xf numFmtId="0" fontId="0" fillId="0" borderId="5" xfId="0" applyBorder="1" applyAlignment="1">
      <alignment wrapText="1"/>
    </xf>
    <xf numFmtId="0" fontId="0" fillId="0" borderId="36" xfId="0" applyBorder="1"/>
    <xf numFmtId="0" fontId="0" fillId="0" borderId="24" xfId="0" applyBorder="1"/>
    <xf numFmtId="0" fontId="0" fillId="0" borderId="30" xfId="0" applyBorder="1"/>
    <xf numFmtId="3" fontId="0" fillId="0" borderId="46" xfId="0" applyNumberFormat="1" applyBorder="1"/>
    <xf numFmtId="3" fontId="0" fillId="0" borderId="43" xfId="0" applyNumberFormat="1" applyBorder="1"/>
    <xf numFmtId="3" fontId="0" fillId="0" borderId="38" xfId="0" applyNumberFormat="1" applyBorder="1"/>
    <xf numFmtId="0" fontId="57" fillId="0" borderId="31" xfId="0" applyFont="1" applyBorder="1" applyAlignment="1">
      <alignment horizontal="center" vertical="center" wrapText="1"/>
    </xf>
    <xf numFmtId="0" fontId="60" fillId="0" borderId="48" xfId="0" applyFont="1" applyBorder="1" applyAlignment="1">
      <alignment horizontal="center" vertical="center" wrapText="1"/>
    </xf>
    <xf numFmtId="0" fontId="16" fillId="0" borderId="44" xfId="0" applyFont="1" applyBorder="1" applyAlignment="1">
      <alignment horizontal="center" vertical="center"/>
    </xf>
    <xf numFmtId="0" fontId="0" fillId="0" borderId="31" xfId="0" applyBorder="1" applyAlignment="1">
      <alignment horizontal="center" vertical="center"/>
    </xf>
    <xf numFmtId="0" fontId="9" fillId="5" borderId="0" xfId="0" applyFont="1" applyFill="1" applyAlignment="1">
      <alignment horizontal="left" vertical="center"/>
    </xf>
    <xf numFmtId="0" fontId="0" fillId="5" borderId="0" xfId="0" applyFill="1" applyAlignment="1">
      <alignment horizontal="left" vertical="center"/>
    </xf>
    <xf numFmtId="0" fontId="2" fillId="5" borderId="0" xfId="0" applyFont="1" applyFill="1" applyAlignment="1">
      <alignment vertical="center"/>
    </xf>
    <xf numFmtId="0" fontId="57" fillId="0" borderId="46" xfId="0" applyFont="1" applyBorder="1" applyAlignment="1">
      <alignment horizontal="center" vertical="center" wrapText="1"/>
    </xf>
    <xf numFmtId="0" fontId="57" fillId="0" borderId="44" xfId="0" applyFont="1" applyBorder="1" applyAlignment="1">
      <alignment horizontal="center" vertical="center" wrapText="1"/>
    </xf>
    <xf numFmtId="0" fontId="2" fillId="0" borderId="0" xfId="0" applyFont="1" applyAlignment="1">
      <alignment horizontal="center" vertical="center" wrapText="1"/>
    </xf>
    <xf numFmtId="0" fontId="2" fillId="0" borderId="5" xfId="0" applyFont="1" applyBorder="1" applyAlignment="1">
      <alignment horizontal="center" vertical="center"/>
    </xf>
    <xf numFmtId="0" fontId="13" fillId="3" borderId="0" xfId="0" applyFont="1" applyFill="1" applyAlignment="1">
      <alignment horizontal="left" wrapText="1"/>
    </xf>
    <xf numFmtId="0" fontId="0" fillId="3" borderId="0" xfId="0" applyFill="1" applyAlignment="1">
      <alignment horizontal="center"/>
    </xf>
    <xf numFmtId="0" fontId="7" fillId="3" borderId="0" xfId="0" applyFont="1" applyFill="1"/>
    <xf numFmtId="164" fontId="2" fillId="3" borderId="1" xfId="0" applyNumberFormat="1" applyFont="1" applyFill="1" applyBorder="1"/>
    <xf numFmtId="164" fontId="0" fillId="0" borderId="0" xfId="0" applyNumberFormat="1"/>
    <xf numFmtId="164" fontId="0" fillId="9" borderId="0" xfId="0" applyNumberFormat="1" applyFill="1"/>
    <xf numFmtId="0" fontId="0" fillId="3" borderId="1" xfId="0" applyFill="1" applyBorder="1" applyAlignment="1">
      <alignment wrapText="1"/>
    </xf>
    <xf numFmtId="0" fontId="0" fillId="0" borderId="32" xfId="0" applyBorder="1" applyAlignment="1">
      <alignment horizontal="center"/>
    </xf>
    <xf numFmtId="0" fontId="0" fillId="0" borderId="33" xfId="0" applyBorder="1" applyAlignment="1">
      <alignment horizontal="center"/>
    </xf>
    <xf numFmtId="0" fontId="0" fillId="0" borderId="48" xfId="0" applyBorder="1"/>
    <xf numFmtId="0" fontId="0" fillId="0" borderId="36" xfId="0" applyBorder="1" applyAlignment="1">
      <alignment horizontal="center"/>
    </xf>
    <xf numFmtId="0" fontId="0" fillId="0" borderId="31" xfId="0" applyBorder="1"/>
    <xf numFmtId="0" fontId="0" fillId="0" borderId="54" xfId="0" applyBorder="1"/>
    <xf numFmtId="0" fontId="0" fillId="0" borderId="53" xfId="0" applyBorder="1"/>
    <xf numFmtId="0" fontId="0" fillId="0" borderId="55" xfId="0" applyBorder="1"/>
    <xf numFmtId="0" fontId="0" fillId="3" borderId="1" xfId="0" applyFill="1" applyBorder="1" applyAlignment="1">
      <alignment horizontal="left" vertical="center" wrapText="1"/>
    </xf>
    <xf numFmtId="0" fontId="0" fillId="3" borderId="1" xfId="0" applyFill="1" applyBorder="1" applyAlignment="1">
      <alignment horizontal="center" vertical="center" wrapText="1"/>
    </xf>
    <xf numFmtId="0" fontId="0" fillId="0" borderId="3" xfId="0" applyBorder="1" applyAlignment="1">
      <alignment horizontal="center" vertical="center" wrapText="1"/>
    </xf>
    <xf numFmtId="0" fontId="2" fillId="2" borderId="5" xfId="0" applyFont="1" applyFill="1" applyBorder="1" applyAlignment="1">
      <alignment horizontal="center" vertical="center"/>
    </xf>
    <xf numFmtId="0" fontId="2" fillId="0" borderId="0" xfId="0" applyFont="1" applyAlignment="1">
      <alignment horizontal="left" wrapText="1"/>
    </xf>
    <xf numFmtId="0" fontId="2" fillId="8" borderId="0" xfId="0" applyFont="1" applyFill="1"/>
    <xf numFmtId="0" fontId="4" fillId="8" borderId="0" xfId="0" applyFont="1" applyFill="1"/>
    <xf numFmtId="0" fontId="9" fillId="8" borderId="0" xfId="0" applyFont="1" applyFill="1"/>
    <xf numFmtId="0" fontId="2" fillId="0" borderId="7" xfId="0" applyFont="1" applyBorder="1" applyAlignment="1">
      <alignment horizontal="center"/>
    </xf>
    <xf numFmtId="0" fontId="0" fillId="0" borderId="4" xfId="0" applyBorder="1" applyAlignment="1">
      <alignment horizontal="center" vertical="center" wrapText="1"/>
    </xf>
    <xf numFmtId="0" fontId="0" fillId="3" borderId="4" xfId="0" applyFill="1" applyBorder="1" applyAlignment="1">
      <alignment horizontal="left" vertical="center" wrapText="1"/>
    </xf>
    <xf numFmtId="0" fontId="0" fillId="0" borderId="15" xfId="0" applyBorder="1" applyAlignment="1">
      <alignment horizontal="center" vertical="center" wrapText="1"/>
    </xf>
    <xf numFmtId="165" fontId="0" fillId="0" borderId="1" xfId="0" applyNumberFormat="1" applyBorder="1" applyAlignment="1">
      <alignment horizontal="center" vertical="center" wrapText="1"/>
    </xf>
    <xf numFmtId="0" fontId="2" fillId="0" borderId="0" xfId="0" applyFont="1" applyAlignment="1">
      <alignment horizontal="center" wrapText="1"/>
    </xf>
    <xf numFmtId="0" fontId="2" fillId="14" borderId="0" xfId="0" applyFont="1" applyFill="1"/>
    <xf numFmtId="0" fontId="0" fillId="14" borderId="0" xfId="0" applyFill="1"/>
    <xf numFmtId="0" fontId="75" fillId="0" borderId="0" xfId="0" applyFont="1" applyAlignment="1">
      <alignment horizontal="center" vertical="center"/>
    </xf>
    <xf numFmtId="0" fontId="2" fillId="11" borderId="0" xfId="0" applyFont="1" applyFill="1" applyAlignment="1">
      <alignment vertical="center"/>
    </xf>
    <xf numFmtId="0" fontId="2" fillId="11" borderId="0" xfId="0" applyFont="1" applyFill="1" applyAlignment="1">
      <alignment horizontal="center" vertical="center"/>
    </xf>
    <xf numFmtId="0" fontId="0" fillId="0" borderId="7" xfId="0" applyBorder="1" applyAlignment="1">
      <alignment vertical="center"/>
    </xf>
    <xf numFmtId="0" fontId="2" fillId="0" borderId="5" xfId="0" applyFont="1" applyBorder="1"/>
    <xf numFmtId="0" fontId="0" fillId="2" borderId="5" xfId="0" applyFill="1" applyBorder="1" applyAlignment="1">
      <alignment vertical="center"/>
    </xf>
    <xf numFmtId="0" fontId="22" fillId="0" borderId="7" xfId="0" applyFont="1" applyBorder="1" applyAlignment="1">
      <alignment horizontal="center" vertical="center"/>
    </xf>
    <xf numFmtId="0" fontId="75" fillId="0" borderId="13" xfId="0" applyFont="1" applyBorder="1" applyAlignment="1">
      <alignment horizontal="center" vertical="center"/>
    </xf>
    <xf numFmtId="0" fontId="2" fillId="11" borderId="13" xfId="0" applyFont="1" applyFill="1" applyBorder="1" applyAlignment="1">
      <alignment horizontal="center" vertical="center"/>
    </xf>
    <xf numFmtId="0" fontId="0" fillId="0" borderId="13" xfId="0" applyBorder="1" applyAlignment="1">
      <alignment horizontal="center" vertical="center"/>
    </xf>
    <xf numFmtId="0" fontId="0" fillId="2" borderId="4" xfId="0" applyFill="1" applyBorder="1" applyAlignment="1">
      <alignment vertical="center"/>
    </xf>
    <xf numFmtId="0" fontId="0" fillId="0" borderId="15" xfId="0" applyBorder="1" applyAlignment="1">
      <alignment horizontal="center" vertical="center"/>
    </xf>
    <xf numFmtId="0" fontId="75" fillId="0" borderId="14" xfId="0" applyFont="1" applyBorder="1" applyAlignment="1">
      <alignment horizontal="center" vertical="center"/>
    </xf>
    <xf numFmtId="0" fontId="2" fillId="11" borderId="14" xfId="0" applyFont="1" applyFill="1" applyBorder="1" applyAlignment="1">
      <alignment horizontal="center" vertical="center"/>
    </xf>
    <xf numFmtId="0" fontId="0" fillId="0" borderId="14" xfId="0" applyBorder="1" applyAlignment="1">
      <alignment horizontal="center" vertical="center"/>
    </xf>
    <xf numFmtId="0" fontId="0" fillId="2" borderId="6" xfId="0" applyFill="1" applyBorder="1" applyAlignment="1">
      <alignment vertical="center"/>
    </xf>
    <xf numFmtId="0" fontId="0" fillId="0" borderId="9" xfId="0" applyBorder="1" applyAlignment="1">
      <alignment horizontal="center" vertical="center"/>
    </xf>
    <xf numFmtId="0" fontId="0" fillId="0" borderId="14" xfId="0" applyBorder="1" applyAlignment="1">
      <alignment horizontal="center" vertical="center" wrapText="1"/>
    </xf>
    <xf numFmtId="0" fontId="2" fillId="3" borderId="4" xfId="0" applyFont="1" applyFill="1" applyBorder="1" applyAlignment="1">
      <alignment horizontal="center" vertical="center"/>
    </xf>
    <xf numFmtId="0" fontId="2" fillId="3" borderId="6" xfId="0" applyFont="1" applyFill="1" applyBorder="1" applyAlignment="1">
      <alignment vertical="center"/>
    </xf>
    <xf numFmtId="0" fontId="0" fillId="0" borderId="56" xfId="0" applyBorder="1"/>
    <xf numFmtId="0" fontId="0" fillId="0" borderId="57" xfId="0" applyBorder="1"/>
    <xf numFmtId="0" fontId="0" fillId="0" borderId="57" xfId="0" applyBorder="1" applyAlignment="1">
      <alignment horizontal="center"/>
    </xf>
    <xf numFmtId="0" fontId="0" fillId="0" borderId="58" xfId="0" applyBorder="1" applyAlignment="1">
      <alignment horizontal="center"/>
    </xf>
    <xf numFmtId="0" fontId="2" fillId="0" borderId="59" xfId="0" applyFont="1" applyBorder="1" applyAlignment="1">
      <alignment horizontal="center" vertical="center"/>
    </xf>
    <xf numFmtId="0" fontId="0" fillId="0" borderId="60" xfId="0" applyBorder="1"/>
    <xf numFmtId="0" fontId="0" fillId="0" borderId="59" xfId="0" applyBorder="1" applyAlignment="1">
      <alignment horizontal="center" vertical="center"/>
    </xf>
    <xf numFmtId="0" fontId="2" fillId="0" borderId="59" xfId="0" applyFont="1" applyBorder="1" applyAlignment="1">
      <alignment horizontal="center"/>
    </xf>
    <xf numFmtId="0" fontId="0" fillId="0" borderId="59" xfId="0" applyBorder="1" applyAlignment="1">
      <alignment horizontal="center"/>
    </xf>
    <xf numFmtId="0" fontId="0" fillId="0" borderId="61" xfId="0" applyBorder="1" applyAlignment="1">
      <alignment horizontal="center"/>
    </xf>
    <xf numFmtId="0" fontId="0" fillId="0" borderId="62" xfId="0" applyBorder="1"/>
    <xf numFmtId="0" fontId="0" fillId="0" borderId="63" xfId="0" applyBorder="1"/>
    <xf numFmtId="0" fontId="0" fillId="0" borderId="13" xfId="0" applyBorder="1"/>
    <xf numFmtId="0" fontId="64" fillId="0" borderId="0" xfId="0" applyFont="1" applyAlignment="1">
      <alignment vertical="center"/>
    </xf>
    <xf numFmtId="0" fontId="64" fillId="0" borderId="13" xfId="0" applyFont="1" applyBorder="1" applyAlignment="1">
      <alignment horizontal="center" vertical="center"/>
    </xf>
    <xf numFmtId="0" fontId="64" fillId="0" borderId="14" xfId="0" applyFont="1" applyBorder="1" applyAlignment="1">
      <alignment horizontal="center" vertical="center"/>
    </xf>
    <xf numFmtId="0" fontId="64" fillId="0" borderId="0" xfId="0" applyFont="1" applyAlignment="1">
      <alignment horizontal="center" vertical="center"/>
    </xf>
    <xf numFmtId="0" fontId="64" fillId="0" borderId="0" xfId="0" applyFont="1"/>
    <xf numFmtId="0" fontId="64" fillId="0" borderId="7" xfId="0" applyFont="1" applyBorder="1"/>
    <xf numFmtId="0" fontId="64" fillId="0" borderId="7" xfId="0" applyFont="1" applyBorder="1" applyAlignment="1">
      <alignment horizontal="center" vertical="center"/>
    </xf>
    <xf numFmtId="0" fontId="64" fillId="0" borderId="15" xfId="0" applyFont="1" applyBorder="1" applyAlignment="1">
      <alignment horizontal="center" vertical="center"/>
    </xf>
    <xf numFmtId="0" fontId="64" fillId="0" borderId="9" xfId="0" applyFont="1" applyBorder="1" applyAlignment="1">
      <alignment horizontal="center" vertical="center"/>
    </xf>
    <xf numFmtId="0" fontId="64" fillId="0" borderId="8" xfId="0" applyFont="1" applyBorder="1" applyAlignment="1">
      <alignment horizontal="center" vertical="center"/>
    </xf>
    <xf numFmtId="0" fontId="64" fillId="0" borderId="3" xfId="0" applyFont="1" applyBorder="1" applyAlignment="1">
      <alignment horizontal="center" vertical="center"/>
    </xf>
    <xf numFmtId="0" fontId="2" fillId="0" borderId="13" xfId="0" applyFont="1" applyBorder="1" applyAlignment="1">
      <alignment horizontal="center" vertical="center"/>
    </xf>
    <xf numFmtId="0" fontId="13" fillId="0" borderId="13" xfId="0" applyFont="1" applyBorder="1" applyAlignment="1">
      <alignment horizontal="center" vertical="center"/>
    </xf>
    <xf numFmtId="0" fontId="13" fillId="0" borderId="14" xfId="0" applyFont="1" applyBorder="1" applyAlignment="1">
      <alignment horizontal="center" vertical="center"/>
    </xf>
    <xf numFmtId="0" fontId="13" fillId="0" borderId="8" xfId="0" applyFont="1" applyBorder="1" applyAlignment="1">
      <alignment horizontal="center" vertical="center"/>
    </xf>
    <xf numFmtId="0" fontId="0" fillId="0" borderId="1" xfId="0" applyBorder="1" applyAlignment="1">
      <alignment horizontal="left" vertical="center" wrapText="1"/>
    </xf>
    <xf numFmtId="0" fontId="0" fillId="0" borderId="1" xfId="0" applyBorder="1" applyAlignment="1">
      <alignment horizontal="right" vertical="center" wrapText="1"/>
    </xf>
    <xf numFmtId="165" fontId="0" fillId="0" borderId="0" xfId="0" applyNumberFormat="1" applyAlignment="1">
      <alignment wrapText="1"/>
    </xf>
    <xf numFmtId="165" fontId="0" fillId="0" borderId="0" xfId="0" applyNumberFormat="1"/>
    <xf numFmtId="0" fontId="2" fillId="10" borderId="0" xfId="0" applyFont="1" applyFill="1"/>
    <xf numFmtId="0" fontId="2" fillId="10" borderId="0" xfId="0" applyFont="1" applyFill="1" applyAlignment="1">
      <alignment horizontal="center"/>
    </xf>
    <xf numFmtId="11" fontId="2" fillId="10" borderId="0" xfId="0" applyNumberFormat="1" applyFont="1" applyFill="1" applyAlignment="1">
      <alignment horizontal="center"/>
    </xf>
    <xf numFmtId="11" fontId="0" fillId="0" borderId="7" xfId="0" applyNumberFormat="1" applyBorder="1"/>
    <xf numFmtId="0" fontId="0" fillId="0" borderId="5" xfId="0" applyBorder="1"/>
    <xf numFmtId="0" fontId="0" fillId="0" borderId="11" xfId="0" applyBorder="1"/>
    <xf numFmtId="0" fontId="18" fillId="9" borderId="0" xfId="0" applyFont="1" applyFill="1"/>
    <xf numFmtId="2" fontId="2" fillId="0" borderId="0" xfId="0" applyNumberFormat="1" applyFont="1"/>
    <xf numFmtId="11" fontId="2" fillId="0" borderId="0" xfId="0" applyNumberFormat="1" applyFont="1"/>
    <xf numFmtId="0" fontId="43" fillId="10" borderId="11" xfId="0" applyFont="1" applyFill="1" applyBorder="1" applyAlignment="1">
      <alignment horizontal="center"/>
    </xf>
    <xf numFmtId="0" fontId="2" fillId="10" borderId="0" xfId="0" applyFont="1" applyFill="1" applyAlignment="1">
      <alignment horizontal="center" vertical="center"/>
    </xf>
    <xf numFmtId="0" fontId="76" fillId="0" borderId="0" xfId="0" applyFont="1"/>
    <xf numFmtId="0" fontId="76" fillId="5" borderId="0" xfId="0" applyFont="1" applyFill="1" applyAlignment="1">
      <alignment horizontal="center" vertical="center"/>
    </xf>
    <xf numFmtId="0" fontId="2" fillId="5" borderId="0" xfId="0" applyFont="1" applyFill="1" applyAlignment="1">
      <alignment horizontal="center" vertical="center"/>
    </xf>
    <xf numFmtId="0" fontId="2" fillId="8" borderId="0" xfId="0" applyFont="1" applyFill="1" applyAlignment="1">
      <alignment horizontal="center" wrapText="1"/>
    </xf>
    <xf numFmtId="0" fontId="2" fillId="0" borderId="7" xfId="0" applyFont="1" applyBorder="1" applyAlignment="1">
      <alignment horizontal="center" vertical="center"/>
    </xf>
    <xf numFmtId="0" fontId="2" fillId="0" borderId="15" xfId="0" applyFont="1" applyBorder="1" applyAlignment="1">
      <alignment horizontal="center" vertical="center"/>
    </xf>
    <xf numFmtId="0" fontId="0" fillId="0" borderId="8" xfId="0" applyBorder="1"/>
    <xf numFmtId="0" fontId="0" fillId="2" borderId="8" xfId="0" applyFill="1" applyBorder="1"/>
    <xf numFmtId="0" fontId="2" fillId="0" borderId="13" xfId="0" applyFont="1" applyBorder="1" applyAlignment="1">
      <alignment horizontal="center"/>
    </xf>
    <xf numFmtId="2" fontId="2" fillId="2" borderId="8" xfId="0" applyNumberFormat="1" applyFont="1" applyFill="1" applyBorder="1" applyAlignment="1">
      <alignment horizontal="center" vertical="center"/>
    </xf>
    <xf numFmtId="0" fontId="0" fillId="0" borderId="15" xfId="0" applyBorder="1"/>
    <xf numFmtId="0" fontId="0" fillId="11" borderId="13" xfId="0" applyFill="1" applyBorder="1" applyAlignment="1">
      <alignment horizontal="center" vertical="center"/>
    </xf>
    <xf numFmtId="0" fontId="0" fillId="11" borderId="0" xfId="0" applyFill="1" applyAlignment="1">
      <alignment horizontal="center" vertical="center"/>
    </xf>
    <xf numFmtId="0" fontId="0" fillId="0" borderId="13" xfId="0" quotePrefix="1" applyBorder="1" applyAlignment="1">
      <alignment horizontal="center" vertical="center"/>
    </xf>
    <xf numFmtId="0" fontId="2" fillId="0" borderId="7" xfId="0" applyFont="1" applyBorder="1"/>
    <xf numFmtId="0" fontId="26" fillId="0" borderId="13" xfId="0" applyFont="1" applyBorder="1" applyAlignment="1">
      <alignment horizontal="center" vertical="center"/>
    </xf>
    <xf numFmtId="0" fontId="26" fillId="0" borderId="13" xfId="0" quotePrefix="1" applyFont="1" applyBorder="1" applyAlignment="1">
      <alignment horizontal="center" vertical="center"/>
    </xf>
    <xf numFmtId="0" fontId="26" fillId="0" borderId="15" xfId="0" applyFont="1" applyBorder="1" applyAlignment="1">
      <alignment horizontal="center" vertical="center"/>
    </xf>
    <xf numFmtId="2" fontId="0" fillId="0" borderId="0" xfId="0" applyNumberFormat="1" applyAlignment="1">
      <alignment horizontal="center" vertical="center"/>
    </xf>
    <xf numFmtId="166" fontId="0" fillId="0" borderId="0" xfId="0" applyNumberFormat="1" applyAlignment="1">
      <alignment horizontal="center" vertical="center"/>
    </xf>
    <xf numFmtId="2" fontId="2" fillId="2" borderId="3" xfId="0" applyNumberFormat="1" applyFont="1" applyFill="1" applyBorder="1" applyAlignment="1">
      <alignment horizontal="center" vertical="center"/>
    </xf>
    <xf numFmtId="166" fontId="10" fillId="0" borderId="0" xfId="0" applyNumberFormat="1" applyFont="1" applyAlignment="1">
      <alignment horizontal="center" vertical="center"/>
    </xf>
    <xf numFmtId="166" fontId="0" fillId="0" borderId="7" xfId="0" applyNumberFormat="1" applyBorder="1" applyAlignment="1">
      <alignment horizontal="center" vertical="center"/>
    </xf>
    <xf numFmtId="0" fontId="9" fillId="2" borderId="5" xfId="0" applyFont="1" applyFill="1" applyBorder="1" applyAlignment="1">
      <alignment horizontal="center" vertical="center"/>
    </xf>
    <xf numFmtId="0" fontId="0" fillId="0" borderId="4" xfId="0" applyBorder="1" applyAlignment="1">
      <alignment horizontal="center" vertical="center"/>
    </xf>
    <xf numFmtId="0" fontId="0" fillId="0" borderId="4" xfId="0" applyBorder="1"/>
    <xf numFmtId="0" fontId="75" fillId="0" borderId="4" xfId="0" applyFont="1" applyBorder="1" applyAlignment="1">
      <alignment horizontal="center" vertical="center"/>
    </xf>
    <xf numFmtId="0" fontId="2" fillId="2" borderId="1" xfId="0" applyFont="1" applyFill="1" applyBorder="1" applyAlignment="1">
      <alignment horizontal="center" vertical="center"/>
    </xf>
    <xf numFmtId="0" fontId="0" fillId="10" borderId="13" xfId="0" applyFill="1" applyBorder="1" applyAlignment="1">
      <alignment horizontal="center" vertical="center"/>
    </xf>
    <xf numFmtId="0" fontId="0" fillId="10" borderId="0" xfId="0" applyFill="1" applyAlignment="1">
      <alignment horizontal="center" vertical="center"/>
    </xf>
    <xf numFmtId="0" fontId="76" fillId="15" borderId="0" xfId="0" applyFont="1" applyFill="1"/>
    <xf numFmtId="0" fontId="2" fillId="15" borderId="0" xfId="0" applyFont="1" applyFill="1"/>
    <xf numFmtId="0" fontId="76" fillId="16" borderId="0" xfId="0" applyFont="1" applyFill="1"/>
    <xf numFmtId="0" fontId="2" fillId="16" borderId="0" xfId="0" applyFont="1" applyFill="1"/>
    <xf numFmtId="167" fontId="77" fillId="0" borderId="0" xfId="0" applyNumberFormat="1" applyFont="1"/>
    <xf numFmtId="0" fontId="0" fillId="0" borderId="30" xfId="0" applyBorder="1" applyAlignment="1">
      <alignment horizontal="center" vertical="center"/>
    </xf>
    <xf numFmtId="0" fontId="0" fillId="2" borderId="13" xfId="0" applyFill="1" applyBorder="1"/>
    <xf numFmtId="0" fontId="0" fillId="0" borderId="64" xfId="0" applyBorder="1"/>
    <xf numFmtId="0" fontId="0" fillId="0" borderId="64" xfId="0" applyBorder="1" applyAlignment="1">
      <alignment horizontal="center" vertical="center"/>
    </xf>
    <xf numFmtId="0" fontId="26" fillId="2" borderId="13" xfId="0" applyFont="1" applyFill="1" applyBorder="1" applyAlignment="1">
      <alignment horizontal="center" vertical="center"/>
    </xf>
    <xf numFmtId="0" fontId="26" fillId="5" borderId="13" xfId="0" applyFont="1" applyFill="1" applyBorder="1" applyAlignment="1">
      <alignment horizontal="center" vertical="center"/>
    </xf>
    <xf numFmtId="0" fontId="26" fillId="0" borderId="64" xfId="0" applyFont="1" applyBorder="1" applyAlignment="1">
      <alignment horizontal="center" vertical="center"/>
    </xf>
    <xf numFmtId="2" fontId="2" fillId="2" borderId="7" xfId="0" applyNumberFormat="1" applyFont="1" applyFill="1" applyBorder="1" applyAlignment="1">
      <alignment horizontal="center" vertical="center"/>
    </xf>
    <xf numFmtId="2" fontId="2" fillId="2" borderId="2" xfId="0" applyNumberFormat="1" applyFont="1" applyFill="1" applyBorder="1" applyAlignment="1">
      <alignment horizontal="center" vertical="center"/>
    </xf>
    <xf numFmtId="2" fontId="2" fillId="2" borderId="65" xfId="0" applyNumberFormat="1" applyFont="1" applyFill="1" applyBorder="1" applyAlignment="1">
      <alignment horizontal="center" vertical="center"/>
    </xf>
    <xf numFmtId="2" fontId="2" fillId="5" borderId="8" xfId="0" applyNumberFormat="1" applyFont="1" applyFill="1" applyBorder="1" applyAlignment="1">
      <alignment horizontal="center" vertical="center"/>
    </xf>
    <xf numFmtId="2" fontId="0" fillId="2" borderId="0" xfId="0" applyNumberFormat="1" applyFill="1" applyAlignment="1">
      <alignment horizontal="center" vertical="center"/>
    </xf>
    <xf numFmtId="2" fontId="0" fillId="0" borderId="30" xfId="0" applyNumberFormat="1" applyBorder="1" applyAlignment="1">
      <alignment horizontal="center" vertical="center"/>
    </xf>
    <xf numFmtId="165" fontId="0" fillId="0" borderId="0" xfId="0" applyNumberFormat="1" applyAlignment="1">
      <alignment horizontal="center" vertical="center"/>
    </xf>
    <xf numFmtId="165" fontId="0" fillId="2" borderId="0" xfId="0" applyNumberFormat="1" applyFill="1" applyAlignment="1">
      <alignment horizontal="center" vertical="center"/>
    </xf>
    <xf numFmtId="165" fontId="0" fillId="5" borderId="0" xfId="0" applyNumberFormat="1" applyFill="1" applyAlignment="1">
      <alignment horizontal="center" vertical="center"/>
    </xf>
    <xf numFmtId="165" fontId="0" fillId="0" borderId="30" xfId="0" applyNumberFormat="1" applyBorder="1" applyAlignment="1">
      <alignment horizontal="center" vertical="center"/>
    </xf>
    <xf numFmtId="165" fontId="0" fillId="0" borderId="7" xfId="0" applyNumberFormat="1" applyBorder="1" applyAlignment="1">
      <alignment horizontal="center" vertical="center"/>
    </xf>
    <xf numFmtId="0" fontId="0" fillId="0" borderId="3" xfId="0" applyBorder="1"/>
    <xf numFmtId="0" fontId="2" fillId="16" borderId="8" xfId="0" applyFont="1" applyFill="1" applyBorder="1" applyAlignment="1">
      <alignment horizontal="center" vertical="center"/>
    </xf>
    <xf numFmtId="0" fontId="2" fillId="5" borderId="8" xfId="0" applyFont="1" applyFill="1" applyBorder="1" applyAlignment="1">
      <alignment horizontal="center"/>
    </xf>
    <xf numFmtId="0" fontId="2" fillId="0" borderId="8" xfId="0" applyFont="1" applyBorder="1" applyAlignment="1">
      <alignment horizontal="center" vertical="center"/>
    </xf>
    <xf numFmtId="167" fontId="77" fillId="0" borderId="65" xfId="0" applyNumberFormat="1" applyFont="1" applyBorder="1" applyAlignment="1">
      <alignment horizontal="center" vertical="center"/>
    </xf>
    <xf numFmtId="166" fontId="77" fillId="0" borderId="8" xfId="0" applyNumberFormat="1" applyFont="1" applyBorder="1" applyAlignment="1">
      <alignment horizontal="center" vertical="center" wrapText="1"/>
    </xf>
    <xf numFmtId="166" fontId="2" fillId="0" borderId="0" xfId="0" applyNumberFormat="1" applyFont="1"/>
    <xf numFmtId="165" fontId="10" fillId="0" borderId="0" xfId="0" applyNumberFormat="1" applyFont="1" applyAlignment="1">
      <alignment horizontal="center" vertical="center"/>
    </xf>
    <xf numFmtId="2" fontId="2" fillId="16" borderId="8" xfId="0" applyNumberFormat="1" applyFont="1" applyFill="1" applyBorder="1" applyAlignment="1">
      <alignment horizontal="center" vertical="center"/>
    </xf>
    <xf numFmtId="0" fontId="0" fillId="0" borderId="15" xfId="0" quotePrefix="1" applyBorder="1" applyAlignment="1">
      <alignment horizontal="center" vertical="center"/>
    </xf>
    <xf numFmtId="2" fontId="2" fillId="11" borderId="8" xfId="0" applyNumberFormat="1" applyFont="1" applyFill="1" applyBorder="1" applyAlignment="1">
      <alignment horizontal="center" vertical="center"/>
    </xf>
    <xf numFmtId="0" fontId="2" fillId="2" borderId="13" xfId="0" applyFont="1" applyFill="1" applyBorder="1" applyAlignment="1">
      <alignment horizontal="center" vertical="center"/>
    </xf>
    <xf numFmtId="2" fontId="2" fillId="0" borderId="13" xfId="0" applyNumberFormat="1" applyFont="1" applyBorder="1" applyAlignment="1">
      <alignment horizontal="center"/>
    </xf>
    <xf numFmtId="0" fontId="78" fillId="0" borderId="11" xfId="0" applyFont="1" applyBorder="1"/>
    <xf numFmtId="11" fontId="78" fillId="0" borderId="11" xfId="0" applyNumberFormat="1" applyFont="1" applyBorder="1"/>
    <xf numFmtId="0" fontId="78" fillId="0" borderId="0" xfId="0" applyFont="1"/>
    <xf numFmtId="11" fontId="78" fillId="0" borderId="0" xfId="0" applyNumberFormat="1" applyFont="1"/>
    <xf numFmtId="0" fontId="78" fillId="0" borderId="7" xfId="0" applyFont="1" applyBorder="1"/>
    <xf numFmtId="11" fontId="78" fillId="0" borderId="7" xfId="0" applyNumberFormat="1" applyFont="1" applyBorder="1"/>
    <xf numFmtId="0" fontId="79" fillId="0" borderId="0" xfId="0" applyFont="1"/>
    <xf numFmtId="11" fontId="79" fillId="0" borderId="0" xfId="0" applyNumberFormat="1" applyFont="1"/>
    <xf numFmtId="2" fontId="78" fillId="0" borderId="13" xfId="0" applyNumberFormat="1" applyFont="1" applyBorder="1" applyAlignment="1">
      <alignment horizontal="center" vertical="center"/>
    </xf>
    <xf numFmtId="2" fontId="0" fillId="0" borderId="7" xfId="0" applyNumberFormat="1" applyBorder="1" applyAlignment="1">
      <alignment horizontal="center" vertical="center"/>
    </xf>
    <xf numFmtId="0" fontId="0" fillId="0" borderId="60" xfId="0" applyBorder="1" applyAlignment="1">
      <alignment horizontal="center" vertical="center" wrapText="1"/>
    </xf>
    <xf numFmtId="0" fontId="0" fillId="0" borderId="63" xfId="0" applyBorder="1" applyAlignment="1">
      <alignment horizontal="center" vertical="center" wrapText="1"/>
    </xf>
    <xf numFmtId="0" fontId="0" fillId="0" borderId="71" xfId="0" applyBorder="1" applyAlignment="1">
      <alignment horizontal="left" vertical="center" wrapText="1"/>
    </xf>
    <xf numFmtId="0" fontId="0" fillId="0" borderId="71" xfId="0" applyBorder="1" applyAlignment="1">
      <alignment wrapText="1"/>
    </xf>
    <xf numFmtId="0" fontId="0" fillId="3" borderId="71" xfId="0" applyFill="1" applyBorder="1" applyAlignment="1">
      <alignment wrapText="1"/>
    </xf>
    <xf numFmtId="0" fontId="0" fillId="0" borderId="72" xfId="0" applyBorder="1" applyAlignment="1">
      <alignment wrapText="1"/>
    </xf>
    <xf numFmtId="2" fontId="2" fillId="2" borderId="0" xfId="0" applyNumberFormat="1" applyFont="1" applyFill="1" applyAlignment="1">
      <alignment horizontal="center" vertical="center"/>
    </xf>
    <xf numFmtId="0" fontId="0" fillId="3" borderId="60" xfId="0" applyFill="1" applyBorder="1" applyAlignment="1">
      <alignment horizontal="center" vertical="center" wrapText="1"/>
    </xf>
    <xf numFmtId="1" fontId="0" fillId="0" borderId="6" xfId="0" applyNumberFormat="1" applyBorder="1" applyAlignment="1">
      <alignment horizontal="center" vertical="center" wrapText="1"/>
    </xf>
    <xf numFmtId="1" fontId="0" fillId="0" borderId="70" xfId="0" applyNumberFormat="1" applyBorder="1" applyAlignment="1">
      <alignment horizontal="center" vertical="center" wrapText="1"/>
    </xf>
    <xf numFmtId="2" fontId="0" fillId="0" borderId="59" xfId="0" applyNumberFormat="1" applyBorder="1" applyAlignment="1">
      <alignment horizontal="center" vertical="center" wrapText="1"/>
    </xf>
    <xf numFmtId="2" fontId="0" fillId="0" borderId="1" xfId="0" applyNumberFormat="1" applyBorder="1" applyAlignment="1">
      <alignment horizontal="center" vertical="center" wrapText="1"/>
    </xf>
    <xf numFmtId="2" fontId="0" fillId="0" borderId="60" xfId="0" applyNumberFormat="1" applyBorder="1" applyAlignment="1">
      <alignment horizontal="center" vertical="center" wrapText="1"/>
    </xf>
    <xf numFmtId="2" fontId="0" fillId="0" borderId="73" xfId="0" applyNumberFormat="1" applyBorder="1" applyAlignment="1">
      <alignment horizontal="center" vertical="center" wrapText="1"/>
    </xf>
    <xf numFmtId="2" fontId="0" fillId="3" borderId="59" xfId="0" applyNumberFormat="1" applyFill="1" applyBorder="1" applyAlignment="1">
      <alignment horizontal="center" vertical="center" wrapText="1"/>
    </xf>
    <xf numFmtId="2" fontId="0" fillId="3" borderId="1" xfId="0" applyNumberFormat="1" applyFill="1" applyBorder="1" applyAlignment="1">
      <alignment horizontal="center" vertical="center" wrapText="1"/>
    </xf>
    <xf numFmtId="2" fontId="0" fillId="3" borderId="60" xfId="0" applyNumberFormat="1" applyFill="1" applyBorder="1" applyAlignment="1">
      <alignment horizontal="center" vertical="center" wrapText="1"/>
    </xf>
    <xf numFmtId="2" fontId="0" fillId="3" borderId="73" xfId="0" applyNumberFormat="1" applyFill="1" applyBorder="1" applyAlignment="1">
      <alignment horizontal="center" vertical="center" wrapText="1"/>
    </xf>
    <xf numFmtId="2" fontId="0" fillId="0" borderId="61" xfId="0" applyNumberFormat="1" applyBorder="1" applyAlignment="1">
      <alignment horizontal="center" vertical="center" wrapText="1"/>
    </xf>
    <xf numFmtId="2" fontId="0" fillId="0" borderId="62" xfId="0" applyNumberFormat="1" applyBorder="1" applyAlignment="1">
      <alignment horizontal="center" vertical="center" wrapText="1"/>
    </xf>
    <xf numFmtId="2" fontId="0" fillId="0" borderId="63" xfId="0" applyNumberFormat="1" applyBorder="1" applyAlignment="1">
      <alignment horizontal="center" vertical="center" wrapText="1"/>
    </xf>
    <xf numFmtId="2" fontId="0" fillId="0" borderId="74" xfId="0" applyNumberFormat="1" applyBorder="1" applyAlignment="1">
      <alignment horizontal="center" vertical="center" wrapText="1"/>
    </xf>
    <xf numFmtId="2" fontId="2" fillId="2" borderId="30" xfId="0" applyNumberFormat="1" applyFont="1" applyFill="1" applyBorder="1" applyAlignment="1">
      <alignment horizontal="center" vertical="center"/>
    </xf>
    <xf numFmtId="11" fontId="0" fillId="0" borderId="1" xfId="0" applyNumberFormat="1" applyBorder="1" applyAlignment="1">
      <alignment horizontal="center" vertical="center" wrapText="1"/>
    </xf>
    <xf numFmtId="11" fontId="0" fillId="0" borderId="73" xfId="0" applyNumberFormat="1" applyBorder="1" applyAlignment="1">
      <alignment horizontal="center" vertical="center" wrapText="1"/>
    </xf>
    <xf numFmtId="2" fontId="0" fillId="2" borderId="1" xfId="0" applyNumberFormat="1" applyFill="1" applyBorder="1" applyAlignment="1">
      <alignment horizontal="center" vertical="center" wrapText="1"/>
    </xf>
    <xf numFmtId="11" fontId="0" fillId="2" borderId="1" xfId="0" applyNumberFormat="1" applyFill="1" applyBorder="1" applyAlignment="1">
      <alignment horizontal="center" vertical="center" wrapText="1"/>
    </xf>
    <xf numFmtId="2" fontId="0" fillId="2" borderId="62" xfId="0" applyNumberFormat="1" applyFill="1" applyBorder="1" applyAlignment="1">
      <alignment horizontal="center" vertical="center" wrapText="1"/>
    </xf>
    <xf numFmtId="1" fontId="0" fillId="3" borderId="6" xfId="0" applyNumberFormat="1" applyFill="1" applyBorder="1" applyAlignment="1">
      <alignment horizontal="center" vertical="center" wrapText="1"/>
    </xf>
    <xf numFmtId="164" fontId="2" fillId="6" borderId="0" xfId="0" applyNumberFormat="1" applyFont="1" applyFill="1"/>
    <xf numFmtId="0" fontId="24" fillId="6" borderId="0" xfId="0" applyFont="1" applyFill="1"/>
    <xf numFmtId="164" fontId="2" fillId="11" borderId="0" xfId="0" applyNumberFormat="1" applyFont="1" applyFill="1"/>
    <xf numFmtId="0" fontId="2" fillId="0" borderId="1" xfId="0" applyFont="1" applyBorder="1"/>
    <xf numFmtId="0" fontId="2" fillId="0" borderId="1" xfId="0" applyFont="1" applyBorder="1" applyAlignment="1">
      <alignment horizontal="center"/>
    </xf>
    <xf numFmtId="0" fontId="2" fillId="0" borderId="1" xfId="0" applyFont="1" applyBorder="1" applyAlignment="1">
      <alignment horizontal="left"/>
    </xf>
    <xf numFmtId="0" fontId="2" fillId="0" borderId="3" xfId="0" applyFont="1" applyBorder="1"/>
    <xf numFmtId="0" fontId="78" fillId="2" borderId="0" xfId="0" applyFont="1" applyFill="1"/>
    <xf numFmtId="0" fontId="81" fillId="0" borderId="0" xfId="0" applyFont="1"/>
    <xf numFmtId="0" fontId="82" fillId="0" borderId="0" xfId="0" applyFont="1"/>
    <xf numFmtId="0" fontId="83" fillId="2" borderId="0" xfId="0" applyFont="1" applyFill="1"/>
    <xf numFmtId="0" fontId="84" fillId="0" borderId="0" xfId="0" applyFont="1"/>
    <xf numFmtId="0" fontId="85" fillId="0" borderId="0" xfId="0" applyFont="1"/>
    <xf numFmtId="0" fontId="83" fillId="0" borderId="0" xfId="0" applyFont="1"/>
    <xf numFmtId="11" fontId="78" fillId="0" borderId="0" xfId="0" applyNumberFormat="1" applyFont="1" applyAlignment="1">
      <alignment horizontal="left" vertical="center"/>
    </xf>
    <xf numFmtId="11" fontId="83" fillId="0" borderId="0" xfId="0" applyNumberFormat="1" applyFont="1" applyAlignment="1">
      <alignment horizontal="left" vertical="center"/>
    </xf>
    <xf numFmtId="164" fontId="84" fillId="0" borderId="0" xfId="0" applyNumberFormat="1" applyFont="1"/>
    <xf numFmtId="164" fontId="79" fillId="0" borderId="0" xfId="0" applyNumberFormat="1" applyFont="1"/>
    <xf numFmtId="0" fontId="84" fillId="0" borderId="0" xfId="0" applyFont="1" applyAlignment="1">
      <alignment vertical="center"/>
    </xf>
    <xf numFmtId="0" fontId="2" fillId="0" borderId="4" xfId="0" applyFont="1" applyBorder="1"/>
    <xf numFmtId="2" fontId="0" fillId="0" borderId="1" xfId="0" applyNumberFormat="1" applyBorder="1"/>
    <xf numFmtId="2" fontId="0" fillId="0" borderId="1" xfId="0" applyNumberFormat="1" applyBorder="1" applyAlignment="1">
      <alignment wrapText="1"/>
    </xf>
    <xf numFmtId="0" fontId="16" fillId="0" borderId="1" xfId="0" applyFont="1" applyBorder="1"/>
    <xf numFmtId="0" fontId="0" fillId="0" borderId="59" xfId="0" applyBorder="1"/>
    <xf numFmtId="2" fontId="0" fillId="0" borderId="60" xfId="0" applyNumberFormat="1" applyBorder="1"/>
    <xf numFmtId="11" fontId="0" fillId="0" borderId="60" xfId="0" applyNumberFormat="1" applyBorder="1"/>
    <xf numFmtId="0" fontId="0" fillId="0" borderId="61" xfId="0" applyBorder="1"/>
    <xf numFmtId="2" fontId="0" fillId="0" borderId="63" xfId="0" applyNumberFormat="1" applyBorder="1"/>
    <xf numFmtId="0" fontId="0" fillId="0" borderId="75" xfId="0" applyBorder="1" applyAlignment="1">
      <alignment horizontal="center"/>
    </xf>
    <xf numFmtId="0" fontId="0" fillId="0" borderId="3" xfId="0" applyBorder="1" applyAlignment="1">
      <alignment horizontal="center"/>
    </xf>
    <xf numFmtId="0" fontId="0" fillId="0" borderId="76" xfId="0" applyBorder="1" applyAlignment="1">
      <alignment horizontal="center"/>
    </xf>
    <xf numFmtId="2" fontId="2" fillId="0" borderId="8" xfId="0" applyNumberFormat="1" applyFont="1" applyBorder="1" applyAlignment="1">
      <alignment horizontal="center" vertical="center"/>
    </xf>
    <xf numFmtId="0" fontId="86" fillId="2" borderId="0" xfId="0" applyFont="1" applyFill="1"/>
    <xf numFmtId="0" fontId="82" fillId="2" borderId="0" xfId="0" applyFont="1" applyFill="1"/>
    <xf numFmtId="0" fontId="79" fillId="2" borderId="0" xfId="0" applyFont="1" applyFill="1"/>
    <xf numFmtId="11" fontId="0" fillId="2" borderId="0" xfId="0" applyNumberFormat="1" applyFill="1"/>
    <xf numFmtId="11" fontId="84" fillId="2" borderId="0" xfId="0" applyNumberFormat="1" applyFont="1" applyFill="1"/>
    <xf numFmtId="11" fontId="79" fillId="2" borderId="0" xfId="0" applyNumberFormat="1" applyFont="1" applyFill="1"/>
    <xf numFmtId="0" fontId="2" fillId="2" borderId="4" xfId="0" applyFont="1" applyFill="1" applyBorder="1"/>
    <xf numFmtId="11" fontId="2" fillId="6" borderId="0" xfId="0" applyNumberFormat="1" applyFont="1" applyFill="1"/>
    <xf numFmtId="164" fontId="0" fillId="0" borderId="13" xfId="0" applyNumberFormat="1" applyBorder="1" applyAlignment="1">
      <alignment horizontal="center" vertical="center"/>
    </xf>
    <xf numFmtId="0" fontId="13" fillId="6" borderId="0" xfId="0" applyFont="1" applyFill="1"/>
    <xf numFmtId="164" fontId="0" fillId="6" borderId="0" xfId="0" applyNumberFormat="1" applyFill="1"/>
    <xf numFmtId="0" fontId="0" fillId="10" borderId="0" xfId="0" applyFill="1"/>
    <xf numFmtId="164" fontId="0" fillId="10" borderId="0" xfId="0" applyNumberFormat="1" applyFill="1"/>
    <xf numFmtId="164" fontId="2" fillId="10" borderId="0" xfId="0" applyNumberFormat="1" applyFont="1" applyFill="1"/>
    <xf numFmtId="164" fontId="0" fillId="0" borderId="0" xfId="0" applyNumberFormat="1" applyAlignment="1">
      <alignment vertical="center"/>
    </xf>
    <xf numFmtId="0" fontId="75" fillId="0" borderId="10" xfId="0" applyFont="1" applyBorder="1" applyAlignment="1">
      <alignment horizontal="center" vertical="center"/>
    </xf>
    <xf numFmtId="0" fontId="75" fillId="0" borderId="12" xfId="0" applyFont="1" applyBorder="1" applyAlignment="1">
      <alignment horizontal="center" vertical="center"/>
    </xf>
    <xf numFmtId="0" fontId="75" fillId="0" borderId="5" xfId="0" applyFont="1" applyBorder="1" applyAlignment="1">
      <alignment horizontal="center" vertical="center"/>
    </xf>
    <xf numFmtId="0" fontId="5" fillId="0" borderId="0" xfId="1" applyAlignment="1">
      <alignment vertical="center"/>
    </xf>
    <xf numFmtId="0" fontId="2" fillId="2" borderId="5" xfId="0" applyFont="1" applyFill="1" applyBorder="1" applyAlignment="1">
      <alignment horizontal="right" vertical="center"/>
    </xf>
    <xf numFmtId="0" fontId="0" fillId="0" borderId="0" xfId="0" applyAlignment="1">
      <alignment horizontal="right" vertical="center"/>
    </xf>
    <xf numFmtId="0" fontId="83" fillId="0" borderId="0" xfId="0" applyFont="1" applyAlignment="1">
      <alignment horizontal="right" vertical="center"/>
    </xf>
    <xf numFmtId="0" fontId="84" fillId="0" borderId="0" xfId="0" applyFont="1" applyAlignment="1">
      <alignment horizontal="right" vertical="center"/>
    </xf>
    <xf numFmtId="0" fontId="0" fillId="0" borderId="7" xfId="0" applyBorder="1" applyAlignment="1">
      <alignment horizontal="right" vertical="center"/>
    </xf>
    <xf numFmtId="0" fontId="78" fillId="0" borderId="0" xfId="0" applyFont="1" applyAlignment="1">
      <alignment horizontal="right" vertical="center"/>
    </xf>
    <xf numFmtId="0" fontId="2" fillId="0" borderId="0" xfId="0" applyFont="1" applyAlignment="1">
      <alignment horizontal="right" vertical="center"/>
    </xf>
    <xf numFmtId="0" fontId="2" fillId="0" borderId="5" xfId="0" applyFont="1" applyBorder="1" applyAlignment="1">
      <alignment horizontal="right" vertical="center"/>
    </xf>
    <xf numFmtId="0" fontId="2" fillId="0" borderId="7" xfId="0" applyFont="1" applyBorder="1" applyAlignment="1">
      <alignment vertical="center"/>
    </xf>
    <xf numFmtId="0" fontId="79" fillId="0" borderId="0" xfId="0" applyFont="1" applyAlignment="1">
      <alignment horizontal="center" vertical="center"/>
    </xf>
    <xf numFmtId="0" fontId="79" fillId="0" borderId="7" xfId="0" applyFont="1" applyBorder="1" applyAlignment="1">
      <alignment horizontal="center" vertical="center"/>
    </xf>
    <xf numFmtId="0" fontId="75" fillId="0" borderId="2" xfId="0" applyFont="1" applyBorder="1" applyAlignment="1">
      <alignment horizontal="center" vertical="center"/>
    </xf>
    <xf numFmtId="0" fontId="75" fillId="0" borderId="3" xfId="0" applyFont="1" applyBorder="1" applyAlignment="1">
      <alignment horizontal="center" vertical="center"/>
    </xf>
    <xf numFmtId="11" fontId="0" fillId="0" borderId="10" xfId="0" applyNumberFormat="1" applyBorder="1" applyAlignment="1">
      <alignment horizontal="center" vertical="center"/>
    </xf>
    <xf numFmtId="11" fontId="0" fillId="0" borderId="11" xfId="0" applyNumberFormat="1" applyBorder="1" applyAlignment="1">
      <alignment horizontal="center" vertical="center"/>
    </xf>
    <xf numFmtId="11" fontId="0" fillId="0" borderId="12" xfId="0" applyNumberFormat="1" applyBorder="1" applyAlignment="1">
      <alignment horizontal="center" vertical="center"/>
    </xf>
    <xf numFmtId="11" fontId="0" fillId="0" borderId="13" xfId="0" applyNumberFormat="1" applyBorder="1"/>
    <xf numFmtId="11" fontId="0" fillId="0" borderId="14" xfId="0" applyNumberFormat="1" applyBorder="1"/>
    <xf numFmtId="11" fontId="0" fillId="0" borderId="13" xfId="0" applyNumberFormat="1" applyBorder="1" applyAlignment="1">
      <alignment horizontal="center" vertical="center"/>
    </xf>
    <xf numFmtId="11" fontId="0" fillId="0" borderId="15" xfId="0" applyNumberFormat="1" applyBorder="1"/>
    <xf numFmtId="11" fontId="0" fillId="0" borderId="9" xfId="0" applyNumberFormat="1" applyBorder="1"/>
    <xf numFmtId="2" fontId="2" fillId="11" borderId="13" xfId="0" applyNumberFormat="1" applyFont="1" applyFill="1" applyBorder="1" applyAlignment="1">
      <alignment horizontal="center" vertical="center"/>
    </xf>
    <xf numFmtId="2" fontId="2" fillId="11" borderId="0" xfId="0" applyNumberFormat="1" applyFont="1" applyFill="1" applyAlignment="1">
      <alignment horizontal="center" vertical="center"/>
    </xf>
    <xf numFmtId="2" fontId="2" fillId="11" borderId="14" xfId="0" applyNumberFormat="1" applyFont="1" applyFill="1" applyBorder="1" applyAlignment="1">
      <alignment horizontal="center" vertical="center"/>
    </xf>
    <xf numFmtId="0" fontId="3" fillId="0" borderId="13" xfId="0" applyFont="1" applyBorder="1" applyAlignment="1">
      <alignment horizontal="center" vertical="center"/>
    </xf>
    <xf numFmtId="0" fontId="0" fillId="0" borderId="4" xfId="0" applyBorder="1" applyAlignment="1">
      <alignment vertical="center"/>
    </xf>
    <xf numFmtId="0" fontId="2" fillId="6" borderId="0" xfId="0" applyFont="1" applyFill="1" applyAlignment="1">
      <alignment horizontal="center" vertical="center"/>
    </xf>
    <xf numFmtId="0" fontId="13" fillId="0" borderId="0" xfId="1" applyFont="1"/>
    <xf numFmtId="0" fontId="24" fillId="0" borderId="0" xfId="0" applyFont="1" applyAlignment="1">
      <alignment horizontal="left" vertical="center"/>
    </xf>
    <xf numFmtId="0" fontId="24" fillId="0" borderId="0" xfId="0" applyFont="1" applyAlignment="1">
      <alignment horizontal="center" vertical="center"/>
    </xf>
    <xf numFmtId="164" fontId="2" fillId="0" borderId="13" xfId="0" applyNumberFormat="1" applyFont="1" applyBorder="1" applyAlignment="1">
      <alignment horizontal="center" vertical="center"/>
    </xf>
    <xf numFmtId="0" fontId="4" fillId="5" borderId="13" xfId="0" applyFont="1" applyFill="1" applyBorder="1" applyAlignment="1">
      <alignment horizontal="center" vertical="center"/>
    </xf>
    <xf numFmtId="0" fontId="0" fillId="0" borderId="13" xfId="0" applyBorder="1" applyAlignment="1">
      <alignment vertical="center"/>
    </xf>
    <xf numFmtId="0" fontId="86" fillId="2" borderId="10" xfId="0" applyFont="1" applyFill="1" applyBorder="1"/>
    <xf numFmtId="0" fontId="0" fillId="0" borderId="10" xfId="0" applyBorder="1" applyAlignment="1">
      <alignment vertical="center"/>
    </xf>
    <xf numFmtId="0" fontId="0" fillId="0" borderId="10" xfId="0" applyBorder="1"/>
    <xf numFmtId="0" fontId="0" fillId="0" borderId="12" xfId="0" applyBorder="1"/>
    <xf numFmtId="0" fontId="86" fillId="2" borderId="13" xfId="0" applyFont="1" applyFill="1" applyBorder="1"/>
    <xf numFmtId="0" fontId="0" fillId="0" borderId="14" xfId="0" applyBorder="1"/>
    <xf numFmtId="0" fontId="2" fillId="2" borderId="13" xfId="0" applyFont="1" applyFill="1" applyBorder="1"/>
    <xf numFmtId="0" fontId="8" fillId="2" borderId="13" xfId="0" applyFont="1" applyFill="1" applyBorder="1"/>
    <xf numFmtId="0" fontId="2" fillId="0" borderId="13" xfId="0" applyFont="1" applyBorder="1"/>
    <xf numFmtId="0" fontId="2" fillId="0" borderId="15" xfId="0" applyFont="1" applyBorder="1" applyAlignment="1">
      <alignment wrapText="1"/>
    </xf>
    <xf numFmtId="0" fontId="0" fillId="0" borderId="15" xfId="0" applyBorder="1" applyAlignment="1">
      <alignment vertical="center"/>
    </xf>
    <xf numFmtId="0" fontId="0" fillId="0" borderId="9" xfId="0" applyBorder="1"/>
    <xf numFmtId="0" fontId="9" fillId="2" borderId="10" xfId="0" applyFont="1" applyFill="1" applyBorder="1"/>
    <xf numFmtId="0" fontId="0" fillId="0" borderId="10" xfId="0" applyBorder="1" applyAlignment="1">
      <alignment horizontal="center" vertical="center"/>
    </xf>
    <xf numFmtId="0" fontId="2" fillId="2" borderId="8" xfId="0" applyFont="1" applyFill="1" applyBorder="1" applyAlignment="1">
      <alignment horizontal="center" vertical="center"/>
    </xf>
    <xf numFmtId="0" fontId="4" fillId="5" borderId="8" xfId="0" applyFont="1" applyFill="1" applyBorder="1"/>
    <xf numFmtId="1" fontId="0" fillId="0" borderId="0" xfId="0" applyNumberFormat="1"/>
    <xf numFmtId="0" fontId="0" fillId="2" borderId="11" xfId="0" applyFill="1" applyBorder="1" applyAlignment="1">
      <alignment vertical="center"/>
    </xf>
    <xf numFmtId="0" fontId="0" fillId="2" borderId="12" xfId="0" applyFill="1" applyBorder="1" applyAlignment="1">
      <alignment vertical="center"/>
    </xf>
    <xf numFmtId="11" fontId="2" fillId="0" borderId="13" xfId="0" applyNumberFormat="1" applyFont="1" applyBorder="1" applyAlignment="1">
      <alignment horizontal="center" vertical="center"/>
    </xf>
    <xf numFmtId="11" fontId="2" fillId="0" borderId="0" xfId="0" applyNumberFormat="1" applyFont="1" applyAlignment="1">
      <alignment horizontal="center" vertical="center"/>
    </xf>
    <xf numFmtId="11" fontId="2" fillId="0" borderId="14" xfId="0" applyNumberFormat="1" applyFont="1" applyBorder="1" applyAlignment="1">
      <alignment horizontal="center" vertical="center"/>
    </xf>
    <xf numFmtId="11" fontId="2" fillId="10" borderId="13" xfId="0" applyNumberFormat="1" applyFont="1" applyFill="1" applyBorder="1" applyAlignment="1">
      <alignment horizontal="center" vertical="center"/>
    </xf>
    <xf numFmtId="11" fontId="2" fillId="10" borderId="0" xfId="0" applyNumberFormat="1" applyFont="1" applyFill="1"/>
    <xf numFmtId="11" fontId="0" fillId="0" borderId="8" xfId="0" applyNumberFormat="1" applyBorder="1"/>
    <xf numFmtId="11" fontId="2" fillId="10" borderId="14" xfId="0" applyNumberFormat="1" applyFont="1" applyFill="1" applyBorder="1"/>
    <xf numFmtId="0" fontId="75" fillId="2" borderId="0" xfId="0" applyFont="1" applyFill="1" applyAlignment="1">
      <alignment horizontal="center" vertical="center"/>
    </xf>
    <xf numFmtId="11" fontId="84" fillId="0" borderId="13" xfId="0" applyNumberFormat="1" applyFont="1" applyBorder="1" applyAlignment="1">
      <alignment horizontal="center" vertical="center"/>
    </xf>
    <xf numFmtId="11" fontId="79" fillId="0" borderId="13" xfId="0" applyNumberFormat="1" applyFont="1" applyBorder="1" applyAlignment="1">
      <alignment horizontal="center" vertical="center"/>
    </xf>
    <xf numFmtId="11" fontId="0" fillId="2" borderId="10" xfId="0" applyNumberFormat="1" applyFill="1" applyBorder="1" applyAlignment="1">
      <alignment horizontal="center" vertical="center"/>
    </xf>
    <xf numFmtId="11" fontId="0" fillId="2" borderId="13" xfId="0" applyNumberFormat="1" applyFill="1" applyBorder="1" applyAlignment="1">
      <alignment horizontal="center" vertical="center"/>
    </xf>
    <xf numFmtId="0" fontId="7" fillId="0" borderId="13" xfId="0" applyFont="1" applyBorder="1" applyAlignment="1">
      <alignment horizontal="center" vertical="center"/>
    </xf>
    <xf numFmtId="11" fontId="79" fillId="2" borderId="13" xfId="0" applyNumberFormat="1" applyFont="1" applyFill="1" applyBorder="1" applyAlignment="1">
      <alignment horizontal="center" vertical="center"/>
    </xf>
    <xf numFmtId="0" fontId="6" fillId="0" borderId="13" xfId="0" applyFont="1" applyBorder="1" applyAlignment="1">
      <alignment horizontal="center" vertical="center"/>
    </xf>
    <xf numFmtId="0" fontId="26" fillId="0" borderId="0" xfId="0" applyFont="1" applyAlignment="1">
      <alignment horizontal="center"/>
    </xf>
    <xf numFmtId="0" fontId="0" fillId="9" borderId="13" xfId="0" applyFill="1" applyBorder="1" applyAlignment="1">
      <alignment horizontal="right" vertical="center"/>
    </xf>
    <xf numFmtId="0" fontId="26" fillId="9" borderId="13" xfId="0" applyFont="1" applyFill="1" applyBorder="1" applyAlignment="1">
      <alignment horizontal="center" vertical="center"/>
    </xf>
    <xf numFmtId="0" fontId="26" fillId="9" borderId="8" xfId="0" applyFont="1" applyFill="1" applyBorder="1" applyAlignment="1">
      <alignment horizontal="center" vertical="center"/>
    </xf>
    <xf numFmtId="0" fontId="0" fillId="9" borderId="13" xfId="0" applyFill="1" applyBorder="1" applyAlignment="1">
      <alignment vertical="center"/>
    </xf>
    <xf numFmtId="0" fontId="2" fillId="9" borderId="0" xfId="0" applyFont="1" applyFill="1" applyAlignment="1">
      <alignment horizontal="right"/>
    </xf>
    <xf numFmtId="0" fontId="4" fillId="5" borderId="13" xfId="0" applyFont="1" applyFill="1" applyBorder="1" applyAlignment="1">
      <alignment horizontal="center" vertical="center" wrapText="1"/>
    </xf>
    <xf numFmtId="0" fontId="10" fillId="0" borderId="13" xfId="0" applyFont="1" applyBorder="1" applyAlignment="1">
      <alignment horizontal="center" vertical="center"/>
    </xf>
    <xf numFmtId="0" fontId="10" fillId="0" borderId="8" xfId="0" applyFont="1" applyBorder="1" applyAlignment="1">
      <alignment horizontal="center" vertical="center"/>
    </xf>
    <xf numFmtId="0" fontId="24" fillId="5" borderId="0" xfId="0" applyFont="1" applyFill="1"/>
    <xf numFmtId="11" fontId="0" fillId="11" borderId="0" xfId="0" applyNumberFormat="1" applyFill="1" applyAlignment="1">
      <alignment horizontal="center" vertical="center"/>
    </xf>
    <xf numFmtId="166" fontId="0" fillId="11" borderId="0" xfId="0" applyNumberFormat="1" applyFill="1" applyAlignment="1">
      <alignment horizontal="center" vertical="center"/>
    </xf>
    <xf numFmtId="0" fontId="0" fillId="0" borderId="2" xfId="0" applyBorder="1" applyAlignment="1">
      <alignment vertical="center"/>
    </xf>
    <xf numFmtId="0" fontId="0" fillId="0" borderId="3" xfId="0" applyBorder="1" applyAlignment="1">
      <alignment vertical="center"/>
    </xf>
    <xf numFmtId="0" fontId="0" fillId="0" borderId="14" xfId="0" applyBorder="1" applyAlignment="1">
      <alignment vertical="center"/>
    </xf>
    <xf numFmtId="0" fontId="0" fillId="0" borderId="9" xfId="0" applyBorder="1" applyAlignment="1">
      <alignment vertical="center"/>
    </xf>
    <xf numFmtId="0" fontId="0" fillId="18" borderId="1" xfId="0" applyFill="1" applyBorder="1" applyAlignment="1">
      <alignment horizontal="center" vertical="center"/>
    </xf>
    <xf numFmtId="10" fontId="0" fillId="0" borderId="0" xfId="0" applyNumberFormat="1"/>
    <xf numFmtId="0" fontId="0" fillId="0" borderId="2" xfId="0" applyBorder="1" applyAlignment="1">
      <alignment horizontal="center"/>
    </xf>
    <xf numFmtId="0" fontId="8" fillId="6" borderId="0" xfId="0" applyFont="1" applyFill="1"/>
    <xf numFmtId="0" fontId="2" fillId="6" borderId="0" xfId="0" applyFont="1" applyFill="1" applyAlignment="1">
      <alignment horizontal="center"/>
    </xf>
    <xf numFmtId="0" fontId="0" fillId="19" borderId="0" xfId="0" applyFill="1"/>
    <xf numFmtId="0" fontId="0" fillId="19" borderId="0" xfId="0" applyFill="1" applyAlignment="1">
      <alignment horizontal="center"/>
    </xf>
    <xf numFmtId="0" fontId="0" fillId="19" borderId="36" xfId="0" applyFill="1" applyBorder="1" applyAlignment="1">
      <alignment horizontal="center"/>
    </xf>
    <xf numFmtId="0" fontId="0" fillId="19" borderId="1" xfId="0" applyFill="1" applyBorder="1" applyAlignment="1">
      <alignment horizontal="center"/>
    </xf>
    <xf numFmtId="0" fontId="0" fillId="19" borderId="1" xfId="0" applyFill="1" applyBorder="1"/>
    <xf numFmtId="0" fontId="0" fillId="19" borderId="4" xfId="0" applyFill="1" applyBorder="1"/>
    <xf numFmtId="0" fontId="0" fillId="11" borderId="36" xfId="0" applyFill="1" applyBorder="1" applyAlignment="1">
      <alignment horizontal="center"/>
    </xf>
    <xf numFmtId="0" fontId="0" fillId="11" borderId="1" xfId="0" applyFill="1" applyBorder="1" applyAlignment="1">
      <alignment horizontal="center"/>
    </xf>
    <xf numFmtId="0" fontId="0" fillId="11" borderId="1" xfId="0" applyFill="1" applyBorder="1"/>
    <xf numFmtId="0" fontId="0" fillId="11" borderId="4" xfId="0" applyFill="1" applyBorder="1"/>
    <xf numFmtId="0" fontId="0" fillId="20" borderId="0" xfId="0" applyFill="1"/>
    <xf numFmtId="0" fontId="0" fillId="20" borderId="0" xfId="0" applyFill="1" applyAlignment="1">
      <alignment horizontal="center"/>
    </xf>
    <xf numFmtId="0" fontId="0" fillId="20" borderId="36" xfId="0" applyFill="1" applyBorder="1" applyAlignment="1">
      <alignment horizontal="center"/>
    </xf>
    <xf numFmtId="0" fontId="0" fillId="20" borderId="1" xfId="0" applyFill="1" applyBorder="1" applyAlignment="1">
      <alignment horizontal="center"/>
    </xf>
    <xf numFmtId="0" fontId="0" fillId="20" borderId="1" xfId="0" applyFill="1" applyBorder="1"/>
    <xf numFmtId="0" fontId="0" fillId="15" borderId="1" xfId="0" applyFill="1" applyBorder="1" applyAlignment="1">
      <alignment horizontal="center"/>
    </xf>
    <xf numFmtId="0" fontId="0" fillId="15" borderId="1" xfId="0" applyFill="1" applyBorder="1"/>
    <xf numFmtId="0" fontId="0" fillId="15" borderId="48" xfId="0" applyFill="1" applyBorder="1"/>
    <xf numFmtId="0" fontId="0" fillId="15" borderId="48" xfId="0" applyFill="1" applyBorder="1" applyAlignment="1">
      <alignment horizontal="center"/>
    </xf>
    <xf numFmtId="0" fontId="0" fillId="15" borderId="50" xfId="0" applyFill="1" applyBorder="1" applyAlignment="1">
      <alignment horizontal="center"/>
    </xf>
    <xf numFmtId="0" fontId="0" fillId="0" borderId="45" xfId="0" applyBorder="1" applyAlignment="1">
      <alignment horizontal="left"/>
    </xf>
    <xf numFmtId="0" fontId="0" fillId="13" borderId="59" xfId="0" applyFill="1" applyBorder="1"/>
    <xf numFmtId="0" fontId="0" fillId="13" borderId="1" xfId="0" applyFill="1" applyBorder="1"/>
    <xf numFmtId="2" fontId="0" fillId="13" borderId="60" xfId="0" applyNumberFormat="1" applyFill="1" applyBorder="1"/>
    <xf numFmtId="0" fontId="0" fillId="13" borderId="42" xfId="0" applyFill="1" applyBorder="1" applyAlignment="1">
      <alignment horizontal="left"/>
    </xf>
    <xf numFmtId="0" fontId="0" fillId="13" borderId="30" xfId="0" applyFill="1" applyBorder="1"/>
    <xf numFmtId="0" fontId="0" fillId="13" borderId="24" xfId="0" applyFill="1" applyBorder="1"/>
    <xf numFmtId="1" fontId="0" fillId="0" borderId="1" xfId="0" applyNumberFormat="1" applyBorder="1" applyAlignment="1">
      <alignment horizontal="center" vertical="center"/>
    </xf>
    <xf numFmtId="2" fontId="0" fillId="0" borderId="1" xfId="0" applyNumberFormat="1" applyBorder="1" applyAlignment="1">
      <alignment horizontal="center" vertical="center"/>
    </xf>
    <xf numFmtId="0" fontId="13" fillId="0" borderId="0" xfId="1" applyFont="1" applyAlignment="1"/>
    <xf numFmtId="0" fontId="13" fillId="0" borderId="0" xfId="0" applyFont="1" applyAlignment="1">
      <alignment wrapText="1"/>
    </xf>
    <xf numFmtId="0" fontId="0" fillId="0" borderId="78" xfId="0" applyBorder="1"/>
    <xf numFmtId="0" fontId="0" fillId="0" borderId="2" xfId="0" applyBorder="1"/>
    <xf numFmtId="0" fontId="0" fillId="0" borderId="79" xfId="0" applyBorder="1"/>
    <xf numFmtId="0" fontId="0" fillId="0" borderId="6" xfId="0" applyBorder="1" applyAlignment="1">
      <alignment horizontal="center" vertical="center"/>
    </xf>
    <xf numFmtId="0" fontId="0" fillId="13" borderId="1" xfId="0" applyFill="1" applyBorder="1" applyAlignment="1">
      <alignment horizontal="center" vertical="center"/>
    </xf>
    <xf numFmtId="0" fontId="13" fillId="3" borderId="0" xfId="1" applyFont="1" applyFill="1"/>
    <xf numFmtId="0" fontId="0" fillId="0" borderId="36" xfId="0" applyBorder="1" applyAlignment="1">
      <alignment horizontal="center" vertical="center"/>
    </xf>
    <xf numFmtId="3" fontId="0" fillId="0" borderId="50" xfId="0" applyNumberFormat="1" applyBorder="1"/>
    <xf numFmtId="0" fontId="0" fillId="6" borderId="45" xfId="0" applyFill="1" applyBorder="1" applyAlignment="1">
      <alignment horizontal="left"/>
    </xf>
    <xf numFmtId="0" fontId="0" fillId="6" borderId="36" xfId="0" applyFill="1" applyBorder="1"/>
    <xf numFmtId="0" fontId="0" fillId="22" borderId="1" xfId="0" applyFill="1" applyBorder="1" applyAlignment="1">
      <alignment horizontal="center"/>
    </xf>
    <xf numFmtId="0" fontId="0" fillId="22" borderId="1" xfId="0" applyFill="1" applyBorder="1"/>
    <xf numFmtId="0" fontId="0" fillId="18" borderId="0" xfId="0" applyFill="1" applyAlignment="1">
      <alignment vertical="center"/>
    </xf>
    <xf numFmtId="0" fontId="0" fillId="18" borderId="0" xfId="0" applyFill="1" applyAlignment="1">
      <alignment horizontal="center" vertical="center"/>
    </xf>
    <xf numFmtId="0" fontId="0" fillId="18" borderId="36" xfId="0" applyFill="1" applyBorder="1" applyAlignment="1">
      <alignment horizontal="center" vertical="center"/>
    </xf>
    <xf numFmtId="0" fontId="0" fillId="18" borderId="1" xfId="0" applyFill="1" applyBorder="1" applyAlignment="1">
      <alignment horizontal="center"/>
    </xf>
    <xf numFmtId="0" fontId="0" fillId="18" borderId="1" xfId="0" applyFill="1" applyBorder="1"/>
    <xf numFmtId="0" fontId="0" fillId="18" borderId="30" xfId="0" applyFill="1" applyBorder="1" applyAlignment="1">
      <alignment vertical="center"/>
    </xf>
    <xf numFmtId="0" fontId="0" fillId="18" borderId="30" xfId="0" applyFill="1" applyBorder="1" applyAlignment="1">
      <alignment horizontal="center" vertical="center"/>
    </xf>
    <xf numFmtId="0" fontId="0" fillId="18" borderId="24" xfId="0" applyFill="1" applyBorder="1" applyAlignment="1">
      <alignment horizontal="center" vertical="center"/>
    </xf>
    <xf numFmtId="2" fontId="0" fillId="0" borderId="0" xfId="0" applyNumberFormat="1" applyAlignment="1">
      <alignment wrapText="1"/>
    </xf>
    <xf numFmtId="164" fontId="1" fillId="0" borderId="0" xfId="0" applyNumberFormat="1" applyFont="1"/>
    <xf numFmtId="0" fontId="1" fillId="9" borderId="0" xfId="0" applyFont="1" applyFill="1"/>
    <xf numFmtId="0" fontId="5" fillId="0" borderId="0" xfId="1" applyAlignment="1">
      <alignment horizontal="left" wrapText="1"/>
    </xf>
    <xf numFmtId="0" fontId="0" fillId="4" borderId="66" xfId="0" applyFill="1" applyBorder="1" applyAlignment="1">
      <alignment horizontal="center" vertical="center" wrapText="1"/>
    </xf>
    <xf numFmtId="0" fontId="0" fillId="4" borderId="3" xfId="0" applyFill="1" applyBorder="1" applyAlignment="1">
      <alignment horizontal="center" vertical="center" wrapText="1"/>
    </xf>
    <xf numFmtId="0" fontId="0" fillId="3" borderId="31" xfId="0" applyFill="1" applyBorder="1" applyAlignment="1">
      <alignment horizontal="center" vertical="center" wrapText="1"/>
    </xf>
    <xf numFmtId="0" fontId="0" fillId="3" borderId="32" xfId="0" applyFill="1" applyBorder="1" applyAlignment="1">
      <alignment horizontal="center" vertical="center" wrapText="1"/>
    </xf>
    <xf numFmtId="0" fontId="0" fillId="3" borderId="33" xfId="0" applyFill="1" applyBorder="1" applyAlignment="1">
      <alignment horizontal="center" vertical="center" wrapText="1"/>
    </xf>
    <xf numFmtId="0" fontId="0" fillId="4" borderId="46" xfId="0" applyFill="1" applyBorder="1" applyAlignment="1">
      <alignment horizontal="left" vertical="center" wrapText="1"/>
    </xf>
    <xf numFmtId="0" fontId="0" fillId="4" borderId="77" xfId="0" applyFill="1" applyBorder="1" applyAlignment="1">
      <alignment horizontal="left" vertical="center" wrapText="1"/>
    </xf>
    <xf numFmtId="0" fontId="0" fillId="4" borderId="68" xfId="0" applyFill="1" applyBorder="1" applyAlignment="1">
      <alignment horizontal="center" vertical="center" wrapText="1"/>
    </xf>
    <xf numFmtId="0" fontId="0" fillId="4" borderId="76" xfId="0" applyFill="1" applyBorder="1" applyAlignment="1">
      <alignment horizontal="center" vertical="center" wrapText="1"/>
    </xf>
    <xf numFmtId="0" fontId="0" fillId="2" borderId="66" xfId="0" applyFill="1" applyBorder="1" applyAlignment="1">
      <alignment horizontal="center" vertical="center" wrapText="1"/>
    </xf>
    <xf numFmtId="0" fontId="0" fillId="2" borderId="3" xfId="0" applyFill="1" applyBorder="1" applyAlignment="1">
      <alignment horizontal="center" vertical="center" wrapText="1"/>
    </xf>
    <xf numFmtId="0" fontId="80" fillId="0" borderId="47" xfId="1" applyFont="1" applyBorder="1" applyAlignment="1">
      <alignment horizontal="center" vertical="center"/>
    </xf>
    <xf numFmtId="0" fontId="80" fillId="0" borderId="48" xfId="1" applyFont="1" applyBorder="1" applyAlignment="1">
      <alignment horizontal="center" vertical="center"/>
    </xf>
    <xf numFmtId="0" fontId="80" fillId="0" borderId="50" xfId="1" applyFont="1" applyBorder="1" applyAlignment="1">
      <alignment horizontal="center" vertical="center"/>
    </xf>
    <xf numFmtId="0" fontId="80" fillId="0" borderId="51" xfId="1" applyFont="1" applyBorder="1" applyAlignment="1">
      <alignment horizontal="center" vertical="center"/>
    </xf>
    <xf numFmtId="0" fontId="80" fillId="0" borderId="7" xfId="1" applyFont="1" applyBorder="1" applyAlignment="1">
      <alignment horizontal="center" vertical="center"/>
    </xf>
    <xf numFmtId="0" fontId="80" fillId="0" borderId="52" xfId="1" applyFont="1" applyBorder="1" applyAlignment="1">
      <alignment horizontal="center" vertical="center"/>
    </xf>
    <xf numFmtId="0" fontId="80" fillId="0" borderId="46" xfId="1" applyFont="1" applyBorder="1" applyAlignment="1">
      <alignment horizontal="center" vertical="center" wrapText="1"/>
    </xf>
    <xf numFmtId="0" fontId="80" fillId="0" borderId="77" xfId="1" applyFont="1" applyBorder="1" applyAlignment="1">
      <alignment horizontal="center" vertical="center" wrapText="1"/>
    </xf>
    <xf numFmtId="0" fontId="26" fillId="4" borderId="67" xfId="0" applyFont="1" applyFill="1" applyBorder="1" applyAlignment="1">
      <alignment horizontal="center" vertical="center" wrapText="1"/>
    </xf>
    <xf numFmtId="0" fontId="26" fillId="4" borderId="75" xfId="0" applyFont="1" applyFill="1"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6" xfId="0" applyBorder="1" applyAlignment="1">
      <alignment horizontal="center" vertical="center" wrapText="1"/>
    </xf>
    <xf numFmtId="0" fontId="0" fillId="3" borderId="1" xfId="0" applyFill="1" applyBorder="1" applyAlignment="1">
      <alignment horizontal="center" vertical="center" wrapText="1"/>
    </xf>
    <xf numFmtId="0" fontId="0" fillId="4" borderId="1" xfId="0" applyFill="1" applyBorder="1" applyAlignment="1">
      <alignment horizontal="center" vertical="center" wrapText="1"/>
    </xf>
    <xf numFmtId="0" fontId="0" fillId="3" borderId="2" xfId="0" applyFill="1" applyBorder="1" applyAlignment="1">
      <alignment horizontal="center" vertical="center" wrapText="1"/>
    </xf>
    <xf numFmtId="0" fontId="0" fillId="0" borderId="10" xfId="0" applyBorder="1" applyAlignment="1">
      <alignment horizontal="center" vertical="center" wrapText="1"/>
    </xf>
    <xf numFmtId="0" fontId="0" fillId="0" borderId="3" xfId="0" applyBorder="1" applyAlignment="1">
      <alignment horizontal="center" vertical="center" wrapText="1"/>
    </xf>
    <xf numFmtId="0" fontId="0" fillId="0" borderId="1" xfId="0" applyBorder="1" applyAlignment="1">
      <alignment horizontal="center" vertical="center" wrapText="1"/>
    </xf>
    <xf numFmtId="0" fontId="0" fillId="0" borderId="2" xfId="0" applyBorder="1" applyAlignment="1">
      <alignment horizontal="center" vertical="center" wrapText="1"/>
    </xf>
    <xf numFmtId="0" fontId="0" fillId="4" borderId="6" xfId="0" applyFill="1" applyBorder="1" applyAlignment="1">
      <alignment horizontal="center" vertical="center" wrapText="1"/>
    </xf>
    <xf numFmtId="0" fontId="0" fillId="3" borderId="1" xfId="0" applyFill="1" applyBorder="1" applyAlignment="1">
      <alignment horizontal="center"/>
    </xf>
    <xf numFmtId="0" fontId="0" fillId="3" borderId="4" xfId="0" applyFill="1" applyBorder="1" applyAlignment="1">
      <alignment horizontal="center"/>
    </xf>
    <xf numFmtId="0" fontId="0" fillId="3" borderId="5" xfId="0" applyFill="1" applyBorder="1" applyAlignment="1">
      <alignment horizontal="center"/>
    </xf>
    <xf numFmtId="0" fontId="0" fillId="3" borderId="6" xfId="0" applyFill="1" applyBorder="1" applyAlignment="1">
      <alignment horizontal="center"/>
    </xf>
    <xf numFmtId="0" fontId="2" fillId="10" borderId="0" xfId="0" applyFont="1" applyFill="1" applyAlignment="1">
      <alignment horizontal="center" wrapText="1"/>
    </xf>
    <xf numFmtId="0" fontId="56" fillId="10" borderId="10" xfId="0" applyFont="1" applyFill="1" applyBorder="1" applyAlignment="1">
      <alignment horizontal="center"/>
    </xf>
    <xf numFmtId="0" fontId="0" fillId="10" borderId="11" xfId="0" applyFill="1" applyBorder="1" applyAlignment="1">
      <alignment horizontal="center"/>
    </xf>
    <xf numFmtId="0" fontId="0" fillId="10" borderId="12" xfId="0" applyFill="1" applyBorder="1" applyAlignment="1">
      <alignment horizontal="center"/>
    </xf>
    <xf numFmtId="0" fontId="9" fillId="17" borderId="0" xfId="0" applyFont="1" applyFill="1" applyAlignment="1">
      <alignment horizontal="center"/>
    </xf>
    <xf numFmtId="0" fontId="12" fillId="0" borderId="7" xfId="0" applyFont="1" applyBorder="1" applyAlignment="1">
      <alignment horizontal="center" vertical="center" wrapText="1"/>
    </xf>
    <xf numFmtId="0" fontId="0" fillId="0" borderId="7" xfId="0" applyBorder="1" applyAlignment="1">
      <alignment horizontal="center" vertical="center" wrapText="1"/>
    </xf>
    <xf numFmtId="164" fontId="2" fillId="3" borderId="4" xfId="0" applyNumberFormat="1" applyFont="1" applyFill="1" applyBorder="1" applyAlignment="1">
      <alignment horizontal="center" vertical="center"/>
    </xf>
    <xf numFmtId="164" fontId="2" fillId="3" borderId="5" xfId="0" applyNumberFormat="1" applyFont="1" applyFill="1" applyBorder="1" applyAlignment="1">
      <alignment horizontal="center" vertical="center"/>
    </xf>
    <xf numFmtId="164" fontId="2" fillId="3" borderId="6" xfId="0" applyNumberFormat="1" applyFont="1" applyFill="1" applyBorder="1" applyAlignment="1">
      <alignment horizontal="center" vertical="center"/>
    </xf>
    <xf numFmtId="0" fontId="10" fillId="0" borderId="0" xfId="0" applyFont="1" applyAlignment="1">
      <alignment horizontal="center" vertical="center" wrapText="1"/>
    </xf>
    <xf numFmtId="0" fontId="25" fillId="0" borderId="0" xfId="0" applyFont="1" applyAlignment="1">
      <alignment horizontal="left" vertical="center" wrapText="1"/>
    </xf>
    <xf numFmtId="0" fontId="22" fillId="0" borderId="0" xfId="0" applyFont="1" applyAlignment="1">
      <alignment horizontal="left" vertical="center" wrapText="1"/>
    </xf>
    <xf numFmtId="0" fontId="2" fillId="5" borderId="0" xfId="0" applyFont="1" applyFill="1" applyAlignment="1">
      <alignment horizontal="center"/>
    </xf>
    <xf numFmtId="0" fontId="2" fillId="5" borderId="10" xfId="0" applyFont="1" applyFill="1" applyBorder="1" applyAlignment="1">
      <alignment horizontal="center" wrapText="1"/>
    </xf>
    <xf numFmtId="0" fontId="2" fillId="5" borderId="11" xfId="0" applyFont="1" applyFill="1" applyBorder="1" applyAlignment="1">
      <alignment horizontal="center" wrapText="1"/>
    </xf>
    <xf numFmtId="0" fontId="2" fillId="5" borderId="12" xfId="0" applyFont="1" applyFill="1" applyBorder="1" applyAlignment="1">
      <alignment horizontal="center" wrapText="1"/>
    </xf>
    <xf numFmtId="0" fontId="2" fillId="5" borderId="15" xfId="0" applyFont="1" applyFill="1" applyBorder="1" applyAlignment="1">
      <alignment horizontal="center" wrapText="1"/>
    </xf>
    <xf numFmtId="0" fontId="2" fillId="5" borderId="7" xfId="0" applyFont="1" applyFill="1" applyBorder="1" applyAlignment="1">
      <alignment horizontal="center" wrapText="1"/>
    </xf>
    <xf numFmtId="0" fontId="2" fillId="5" borderId="9" xfId="0" applyFont="1" applyFill="1" applyBorder="1" applyAlignment="1">
      <alignment horizontal="center" wrapText="1"/>
    </xf>
    <xf numFmtId="0" fontId="2" fillId="11" borderId="7" xfId="0" applyFont="1" applyFill="1" applyBorder="1" applyAlignment="1">
      <alignment horizontal="center" vertical="center"/>
    </xf>
    <xf numFmtId="0" fontId="2" fillId="6" borderId="0" xfId="0" applyFont="1" applyFill="1" applyAlignment="1">
      <alignment horizontal="center" vertical="center"/>
    </xf>
    <xf numFmtId="0" fontId="2" fillId="2" borderId="0" xfId="0" applyFont="1" applyFill="1" applyAlignment="1">
      <alignment horizontal="center"/>
    </xf>
    <xf numFmtId="0" fontId="9" fillId="9" borderId="0" xfId="0" applyFont="1" applyFill="1" applyAlignment="1">
      <alignment horizontal="center"/>
    </xf>
    <xf numFmtId="0" fontId="2" fillId="0" borderId="0" xfId="0" applyFont="1" applyAlignment="1">
      <alignment horizontal="center"/>
    </xf>
    <xf numFmtId="0" fontId="0" fillId="0" borderId="13" xfId="0" applyBorder="1" applyAlignment="1">
      <alignment horizontal="center"/>
    </xf>
    <xf numFmtId="0" fontId="0" fillId="0" borderId="0" xfId="0" applyAlignment="1">
      <alignment horizontal="center"/>
    </xf>
    <xf numFmtId="0" fontId="9" fillId="2" borderId="5" xfId="0" applyFont="1" applyFill="1" applyBorder="1" applyAlignment="1">
      <alignment horizontal="center" vertical="center"/>
    </xf>
    <xf numFmtId="0" fontId="24" fillId="0" borderId="7" xfId="0" applyFont="1" applyBorder="1" applyAlignment="1">
      <alignment horizontal="center"/>
    </xf>
    <xf numFmtId="0" fontId="0" fillId="2" borderId="0" xfId="0" applyFill="1" applyAlignment="1">
      <alignment horizontal="left" vertical="center" wrapText="1"/>
    </xf>
    <xf numFmtId="0" fontId="2" fillId="0" borderId="11" xfId="0" applyFont="1" applyBorder="1" applyAlignment="1">
      <alignment horizontal="center" vertical="center" wrapText="1"/>
    </xf>
    <xf numFmtId="0" fontId="2" fillId="0" borderId="0" xfId="0" applyFont="1" applyAlignment="1">
      <alignment horizontal="center" vertical="center" wrapText="1"/>
    </xf>
    <xf numFmtId="0" fontId="2" fillId="0" borderId="7" xfId="0" applyFont="1" applyBorder="1" applyAlignment="1">
      <alignment horizontal="center" vertical="center" wrapText="1"/>
    </xf>
    <xf numFmtId="0" fontId="5" fillId="0" borderId="0" xfId="1" applyAlignment="1">
      <alignment horizontal="left" vertical="center" wrapText="1"/>
    </xf>
    <xf numFmtId="0" fontId="5" fillId="0" borderId="0" xfId="1" applyAlignment="1">
      <alignment horizontal="center" wrapText="1"/>
    </xf>
    <xf numFmtId="0" fontId="9" fillId="10" borderId="0" xfId="0" applyFont="1" applyFill="1" applyAlignment="1">
      <alignment horizontal="center"/>
    </xf>
    <xf numFmtId="0" fontId="0" fillId="0" borderId="0" xfId="0"/>
    <xf numFmtId="0" fontId="0" fillId="0" borderId="47" xfId="0" applyBorder="1" applyAlignment="1">
      <alignment horizontal="center" vertical="center" wrapText="1"/>
    </xf>
    <xf numFmtId="0" fontId="0" fillId="0" borderId="45" xfId="0" applyBorder="1" applyAlignment="1">
      <alignment horizontal="center" vertical="center" wrapText="1"/>
    </xf>
    <xf numFmtId="0" fontId="0" fillId="0" borderId="42" xfId="0" applyBorder="1" applyAlignment="1">
      <alignment horizontal="center" vertical="center" wrapText="1"/>
    </xf>
    <xf numFmtId="0" fontId="0" fillId="0" borderId="1" xfId="0" applyBorder="1" applyAlignment="1">
      <alignment horizontal="center"/>
    </xf>
    <xf numFmtId="0" fontId="0" fillId="0" borderId="60" xfId="0" applyBorder="1" applyAlignment="1">
      <alignment horizontal="center"/>
    </xf>
    <xf numFmtId="0" fontId="0" fillId="0" borderId="56" xfId="0" applyBorder="1" applyAlignment="1">
      <alignment horizontal="center" vertical="center" wrapText="1"/>
    </xf>
    <xf numFmtId="0" fontId="0" fillId="0" borderId="57" xfId="0" applyBorder="1" applyAlignment="1">
      <alignment horizontal="center" vertical="center" wrapText="1"/>
    </xf>
    <xf numFmtId="0" fontId="0" fillId="0" borderId="58" xfId="0" applyBorder="1" applyAlignment="1">
      <alignment horizontal="center" vertical="center" wrapText="1"/>
    </xf>
    <xf numFmtId="0" fontId="0" fillId="0" borderId="59" xfId="0" applyBorder="1" applyAlignment="1">
      <alignment horizontal="center" vertical="center" wrapText="1"/>
    </xf>
    <xf numFmtId="0" fontId="0" fillId="0" borderId="60" xfId="0" applyBorder="1" applyAlignment="1">
      <alignment horizontal="center" vertical="center" wrapText="1"/>
    </xf>
    <xf numFmtId="0" fontId="0" fillId="0" borderId="61" xfId="0" applyBorder="1" applyAlignment="1">
      <alignment horizontal="center" vertical="center" wrapText="1"/>
    </xf>
    <xf numFmtId="0" fontId="0" fillId="0" borderId="62" xfId="0" applyBorder="1" applyAlignment="1">
      <alignment horizontal="center" vertical="center" wrapText="1"/>
    </xf>
    <xf numFmtId="0" fontId="0" fillId="0" borderId="63" xfId="0" applyBorder="1" applyAlignment="1">
      <alignment horizontal="center" vertical="center" wrapText="1"/>
    </xf>
    <xf numFmtId="0" fontId="0" fillId="0" borderId="2" xfId="0" applyBorder="1" applyAlignment="1">
      <alignment horizontal="center" vertical="center"/>
    </xf>
    <xf numFmtId="0" fontId="0" fillId="0" borderId="3" xfId="0" applyBorder="1" applyAlignment="1">
      <alignment horizontal="center" vertical="center"/>
    </xf>
    <xf numFmtId="0" fontId="91" fillId="0" borderId="1" xfId="0" applyFont="1" applyBorder="1" applyAlignment="1">
      <alignment horizontal="center" vertical="center" wrapText="1"/>
    </xf>
    <xf numFmtId="0" fontId="90" fillId="0" borderId="1" xfId="0" applyFont="1" applyBorder="1" applyAlignment="1">
      <alignment horizontal="center" vertical="center" wrapText="1"/>
    </xf>
    <xf numFmtId="0" fontId="0" fillId="0" borderId="1" xfId="0" applyBorder="1" applyAlignment="1">
      <alignment horizontal="center" vertical="center"/>
    </xf>
    <xf numFmtId="0" fontId="0" fillId="0" borderId="4" xfId="0" applyBorder="1" applyAlignment="1">
      <alignment horizontal="center" vertical="center"/>
    </xf>
    <xf numFmtId="0" fontId="0" fillId="0" borderId="2" xfId="0" applyBorder="1" applyAlignment="1">
      <alignment horizontal="center"/>
    </xf>
    <xf numFmtId="0" fontId="0" fillId="0" borderId="8" xfId="0" applyBorder="1" applyAlignment="1">
      <alignment horizontal="center"/>
    </xf>
    <xf numFmtId="0" fontId="0" fillId="0" borderId="3" xfId="0" applyBorder="1" applyAlignment="1">
      <alignment horizontal="center"/>
    </xf>
    <xf numFmtId="0" fontId="0" fillId="0" borderId="1" xfId="0" applyBorder="1" applyAlignment="1">
      <alignment horizontal="center" wrapText="1"/>
    </xf>
    <xf numFmtId="0" fontId="0" fillId="0" borderId="31" xfId="0" applyBorder="1" applyAlignment="1">
      <alignment horizontal="center"/>
    </xf>
    <xf numFmtId="0" fontId="0" fillId="0" borderId="32" xfId="0" applyBorder="1" applyAlignment="1">
      <alignment horizontal="center"/>
    </xf>
    <xf numFmtId="0" fontId="0" fillId="0" borderId="33" xfId="0" applyBorder="1" applyAlignment="1">
      <alignment horizontal="center"/>
    </xf>
    <xf numFmtId="0" fontId="0" fillId="0" borderId="8" xfId="0" applyBorder="1" applyAlignment="1">
      <alignment horizontal="center" vertical="center" wrapText="1"/>
    </xf>
    <xf numFmtId="0" fontId="0" fillId="0" borderId="15" xfId="0" applyBorder="1" applyAlignment="1">
      <alignment horizontal="center" vertical="center" wrapText="1"/>
    </xf>
    <xf numFmtId="0" fontId="5" fillId="0" borderId="1" xfId="1" applyBorder="1" applyAlignment="1">
      <alignment horizontal="center" vertical="center"/>
    </xf>
    <xf numFmtId="0" fontId="0" fillId="19" borderId="1" xfId="0" applyFill="1"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wrapText="1"/>
    </xf>
    <xf numFmtId="0" fontId="0" fillId="0" borderId="12" xfId="0" applyBorder="1" applyAlignment="1">
      <alignment horizontal="center" vertical="center" wrapText="1"/>
    </xf>
    <xf numFmtId="0" fontId="0" fillId="19" borderId="2" xfId="0" applyFill="1" applyBorder="1" applyAlignment="1">
      <alignment horizontal="center" vertical="center"/>
    </xf>
    <xf numFmtId="0" fontId="0" fillId="19" borderId="8" xfId="0" applyFill="1" applyBorder="1" applyAlignment="1">
      <alignment horizontal="center" vertical="center"/>
    </xf>
    <xf numFmtId="0" fontId="0" fillId="19" borderId="3" xfId="0" applyFill="1" applyBorder="1" applyAlignment="1">
      <alignment horizontal="center" vertical="center"/>
    </xf>
    <xf numFmtId="0" fontId="0" fillId="0" borderId="6" xfId="0" applyBorder="1" applyAlignment="1">
      <alignment horizontal="center" vertical="center"/>
    </xf>
    <xf numFmtId="0" fontId="0" fillId="0" borderId="0" xfId="0" applyAlignment="1">
      <alignment horizontal="center" vertical="center" wrapText="1"/>
    </xf>
    <xf numFmtId="0" fontId="0" fillId="0" borderId="48" xfId="0" applyBorder="1" applyAlignment="1">
      <alignment horizontal="center"/>
    </xf>
    <xf numFmtId="0" fontId="0" fillId="0" borderId="50" xfId="0" applyBorder="1" applyAlignment="1">
      <alignment horizontal="center"/>
    </xf>
    <xf numFmtId="0" fontId="6" fillId="0" borderId="46" xfId="0" applyFont="1" applyBorder="1" applyAlignment="1">
      <alignment horizontal="center" vertical="center" wrapText="1"/>
    </xf>
    <xf numFmtId="0" fontId="6" fillId="0" borderId="43" xfId="0" applyFont="1" applyBorder="1" applyAlignment="1">
      <alignment horizontal="center" vertical="center" wrapText="1"/>
    </xf>
    <xf numFmtId="0" fontId="6" fillId="0" borderId="45" xfId="0" applyFont="1" applyBorder="1" applyAlignment="1">
      <alignment horizontal="center" vertical="center" wrapText="1"/>
    </xf>
    <xf numFmtId="0" fontId="6" fillId="0" borderId="38" xfId="0" applyFont="1" applyBorder="1" applyAlignment="1">
      <alignment horizontal="center" vertical="center" wrapText="1"/>
    </xf>
    <xf numFmtId="0" fontId="0" fillId="0" borderId="51" xfId="0" applyBorder="1" applyAlignment="1">
      <alignment horizontal="center" vertical="center" wrapText="1"/>
    </xf>
    <xf numFmtId="0" fontId="0" fillId="0" borderId="52" xfId="0" applyBorder="1" applyAlignment="1">
      <alignment horizontal="center" vertical="center" wrapText="1"/>
    </xf>
    <xf numFmtId="0" fontId="0" fillId="0" borderId="50" xfId="0" applyBorder="1" applyAlignment="1">
      <alignment horizontal="center" vertical="center"/>
    </xf>
    <xf numFmtId="0" fontId="0" fillId="0" borderId="36" xfId="0" applyBorder="1" applyAlignment="1">
      <alignment horizontal="center" vertical="center"/>
    </xf>
    <xf numFmtId="0" fontId="0" fillId="0" borderId="46" xfId="0" applyBorder="1" applyAlignment="1">
      <alignment horizontal="center" vertical="center"/>
    </xf>
    <xf numFmtId="0" fontId="0" fillId="0" borderId="43" xfId="0" applyBorder="1" applyAlignment="1">
      <alignment horizontal="center" vertical="center"/>
    </xf>
    <xf numFmtId="0" fontId="0" fillId="0" borderId="38" xfId="0" applyBorder="1" applyAlignment="1">
      <alignment horizontal="center" vertical="center"/>
    </xf>
    <xf numFmtId="0" fontId="0" fillId="0" borderId="0" xfId="0" applyAlignment="1">
      <alignment horizontal="center" wrapText="1"/>
    </xf>
    <xf numFmtId="0" fontId="0" fillId="0" borderId="69" xfId="0" applyBorder="1" applyAlignment="1">
      <alignment horizontal="center" vertical="center" wrapText="1"/>
    </xf>
    <xf numFmtId="0" fontId="0" fillId="0" borderId="70" xfId="0" applyBorder="1" applyAlignment="1">
      <alignment horizontal="center" vertical="center" wrapText="1"/>
    </xf>
    <xf numFmtId="0" fontId="0" fillId="0" borderId="59" xfId="0" applyBorder="1" applyAlignment="1">
      <alignment horizontal="center" vertical="center"/>
    </xf>
    <xf numFmtId="0" fontId="0" fillId="0" borderId="56" xfId="0" applyBorder="1" applyAlignment="1">
      <alignment horizontal="center"/>
    </xf>
    <xf numFmtId="0" fontId="0" fillId="0" borderId="57" xfId="0" applyBorder="1" applyAlignment="1">
      <alignment horizontal="center"/>
    </xf>
    <xf numFmtId="0" fontId="0" fillId="0" borderId="58" xfId="0" applyBorder="1" applyAlignment="1">
      <alignment horizontal="center"/>
    </xf>
    <xf numFmtId="0" fontId="0" fillId="0" borderId="13" xfId="0" applyBorder="1" applyAlignment="1">
      <alignment horizontal="center" vertical="center" wrapText="1"/>
    </xf>
    <xf numFmtId="0" fontId="0" fillId="0" borderId="7" xfId="0" applyBorder="1" applyAlignment="1">
      <alignment horizontal="center"/>
    </xf>
    <xf numFmtId="0" fontId="0" fillId="21" borderId="7" xfId="0" applyFill="1" applyBorder="1" applyAlignment="1">
      <alignment horizontal="center"/>
    </xf>
    <xf numFmtId="0" fontId="0" fillId="0" borderId="14" xfId="0" applyBorder="1" applyAlignment="1">
      <alignment horizontal="center" vertical="center" wrapText="1"/>
    </xf>
    <xf numFmtId="0" fontId="29" fillId="2" borderId="0" xfId="0" applyFont="1" applyFill="1" applyAlignment="1">
      <alignment horizontal="center" vertical="center"/>
    </xf>
    <xf numFmtId="0" fontId="9" fillId="2" borderId="0" xfId="0" applyFont="1" applyFill="1" applyAlignment="1">
      <alignment horizontal="center" vertical="center"/>
    </xf>
    <xf numFmtId="0" fontId="37" fillId="2" borderId="0" xfId="0" applyFont="1" applyFill="1" applyAlignment="1">
      <alignment horizontal="center" vertical="center"/>
    </xf>
    <xf numFmtId="0" fontId="13" fillId="10" borderId="4" xfId="0" applyFont="1" applyFill="1" applyBorder="1" applyAlignment="1">
      <alignment horizontal="left" vertical="center" wrapText="1"/>
    </xf>
    <xf numFmtId="0" fontId="0" fillId="10" borderId="5" xfId="0" applyFill="1" applyBorder="1" applyAlignment="1">
      <alignment horizontal="left" vertical="center" wrapText="1"/>
    </xf>
    <xf numFmtId="0" fontId="0" fillId="10" borderId="6" xfId="0" applyFill="1" applyBorder="1" applyAlignment="1">
      <alignment horizontal="left" vertical="center" wrapText="1"/>
    </xf>
    <xf numFmtId="0" fontId="2" fillId="2" borderId="5" xfId="0" applyFont="1" applyFill="1" applyBorder="1" applyAlignment="1">
      <alignment horizontal="center" vertical="center"/>
    </xf>
    <xf numFmtId="0" fontId="18" fillId="10" borderId="0" xfId="0" applyFont="1" applyFill="1" applyAlignment="1">
      <alignment horizontal="left" vertical="top" wrapText="1"/>
    </xf>
    <xf numFmtId="0" fontId="18" fillId="6" borderId="0" xfId="0" applyFont="1" applyFill="1" applyAlignment="1">
      <alignment horizontal="left" vertical="top" wrapText="1"/>
    </xf>
    <xf numFmtId="0" fontId="12" fillId="3" borderId="5" xfId="0" applyFont="1" applyFill="1" applyBorder="1" applyAlignment="1">
      <alignment horizontal="center" vertical="center"/>
    </xf>
    <xf numFmtId="0" fontId="36" fillId="11" borderId="0" xfId="0" applyFont="1" applyFill="1" applyAlignment="1">
      <alignment horizontal="center" vertical="center"/>
    </xf>
    <xf numFmtId="0" fontId="48" fillId="11" borderId="0" xfId="0" applyFont="1" applyFill="1" applyAlignment="1">
      <alignment horizontal="center" vertical="center"/>
    </xf>
    <xf numFmtId="0" fontId="41" fillId="2" borderId="0" xfId="0" applyFont="1" applyFill="1" applyAlignment="1">
      <alignment horizontal="center" vertical="center"/>
    </xf>
    <xf numFmtId="0" fontId="54" fillId="2" borderId="0" xfId="0" applyFont="1" applyFill="1" applyAlignment="1">
      <alignment horizontal="center" vertical="center"/>
    </xf>
    <xf numFmtId="0" fontId="51" fillId="2" borderId="0" xfId="0" applyFont="1" applyFill="1" applyAlignment="1">
      <alignment horizontal="center" vertical="center"/>
    </xf>
    <xf numFmtId="0" fontId="52" fillId="2" borderId="0" xfId="0" applyFont="1" applyFill="1" applyAlignment="1">
      <alignment horizontal="center" vertical="center"/>
    </xf>
    <xf numFmtId="0" fontId="18" fillId="0" borderId="10" xfId="0" applyFont="1" applyBorder="1" applyAlignment="1">
      <alignment horizontal="left" vertical="center" wrapText="1"/>
    </xf>
    <xf numFmtId="0" fontId="18" fillId="0" borderId="11" xfId="0" applyFont="1" applyBorder="1" applyAlignment="1">
      <alignment horizontal="left" vertical="center" wrapText="1"/>
    </xf>
    <xf numFmtId="0" fontId="18" fillId="0" borderId="12" xfId="0" applyFont="1" applyBorder="1" applyAlignment="1">
      <alignment horizontal="left" vertical="center" wrapText="1"/>
    </xf>
    <xf numFmtId="0" fontId="18" fillId="0" borderId="15" xfId="0" applyFont="1" applyBorder="1" applyAlignment="1">
      <alignment horizontal="left" vertical="center" wrapText="1"/>
    </xf>
    <xf numFmtId="0" fontId="18" fillId="0" borderId="7" xfId="0" applyFont="1" applyBorder="1" applyAlignment="1">
      <alignment horizontal="left" vertical="center" wrapText="1"/>
    </xf>
    <xf numFmtId="0" fontId="18" fillId="0" borderId="9" xfId="0" applyFont="1" applyBorder="1" applyAlignment="1">
      <alignment horizontal="left" vertical="center" wrapText="1"/>
    </xf>
    <xf numFmtId="0" fontId="66" fillId="11" borderId="0" xfId="0" applyFont="1" applyFill="1" applyAlignment="1">
      <alignment horizontal="center" vertical="center"/>
    </xf>
    <xf numFmtId="0" fontId="67" fillId="11" borderId="0" xfId="0" applyFont="1" applyFill="1" applyAlignment="1">
      <alignment horizontal="center" vertical="center"/>
    </xf>
    <xf numFmtId="0" fontId="0" fillId="0" borderId="0" xfId="0" applyAlignment="1">
      <alignment horizontal="left" vertical="center" wrapText="1"/>
    </xf>
    <xf numFmtId="0" fontId="0" fillId="0" borderId="7" xfId="0" applyBorder="1" applyAlignment="1">
      <alignment horizontal="left" vertical="center" wrapText="1"/>
    </xf>
    <xf numFmtId="0" fontId="2" fillId="0" borderId="0" xfId="0" applyFont="1" applyAlignment="1">
      <alignment horizontal="left" wrapText="1"/>
    </xf>
    <xf numFmtId="0" fontId="36" fillId="2" borderId="0" xfId="0" applyFont="1" applyFill="1" applyAlignment="1">
      <alignment horizontal="center" vertical="center"/>
    </xf>
    <xf numFmtId="0" fontId="48" fillId="2" borderId="0" xfId="0" applyFont="1" applyFill="1" applyAlignment="1">
      <alignment horizontal="center" vertical="center"/>
    </xf>
    <xf numFmtId="0" fontId="49" fillId="2" borderId="0" xfId="0" applyFont="1" applyFill="1" applyAlignment="1">
      <alignment horizontal="center" vertical="center"/>
    </xf>
    <xf numFmtId="0" fontId="50" fillId="2" borderId="0" xfId="0" applyFont="1" applyFill="1" applyAlignment="1">
      <alignment horizontal="center" vertical="center"/>
    </xf>
    <xf numFmtId="0" fontId="12" fillId="0" borderId="0" xfId="0" applyFont="1" applyAlignment="1">
      <alignment horizontal="left" wrapText="1"/>
    </xf>
    <xf numFmtId="0" fontId="0" fillId="0" borderId="0" xfId="0" applyAlignment="1">
      <alignment horizontal="left" wrapText="1"/>
    </xf>
    <xf numFmtId="0" fontId="1" fillId="0" borderId="10" xfId="0" applyFont="1" applyBorder="1" applyAlignment="1">
      <alignment horizontal="left" vertical="center" wrapText="1"/>
    </xf>
    <xf numFmtId="0" fontId="0" fillId="0" borderId="11" xfId="0" applyBorder="1" applyAlignment="1">
      <alignment horizontal="left" vertical="center" wrapText="1"/>
    </xf>
    <xf numFmtId="0" fontId="0" fillId="0" borderId="12" xfId="0" applyBorder="1" applyAlignment="1">
      <alignment horizontal="left" vertical="center" wrapText="1"/>
    </xf>
    <xf numFmtId="0" fontId="0" fillId="0" borderId="13" xfId="0" applyBorder="1" applyAlignment="1">
      <alignment horizontal="left" vertical="center" wrapText="1"/>
    </xf>
    <xf numFmtId="0" fontId="0" fillId="0" borderId="14" xfId="0" applyBorder="1" applyAlignment="1">
      <alignment horizontal="left" vertical="center" wrapText="1"/>
    </xf>
    <xf numFmtId="0" fontId="0" fillId="0" borderId="15" xfId="0" applyBorder="1" applyAlignment="1">
      <alignment horizontal="left" vertical="center" wrapText="1"/>
    </xf>
    <xf numFmtId="0" fontId="0" fillId="0" borderId="9" xfId="0" applyBorder="1" applyAlignment="1">
      <alignment horizontal="left" vertical="center" wrapText="1"/>
    </xf>
    <xf numFmtId="0" fontId="0" fillId="0" borderId="0" xfId="0" applyAlignment="1">
      <alignment horizontal="left"/>
    </xf>
    <xf numFmtId="0" fontId="12" fillId="0" borderId="0" xfId="0" applyFont="1" applyAlignment="1">
      <alignment vertical="top" wrapText="1"/>
    </xf>
    <xf numFmtId="0" fontId="0" fillId="0" borderId="0" xfId="0" applyAlignment="1">
      <alignment vertical="top" wrapText="1"/>
    </xf>
    <xf numFmtId="0" fontId="18" fillId="0" borderId="13" xfId="0" applyFont="1" applyBorder="1" applyAlignment="1">
      <alignment horizontal="left" vertical="center" wrapText="1"/>
    </xf>
    <xf numFmtId="0" fontId="18" fillId="0" borderId="0" xfId="0" applyFont="1" applyAlignment="1">
      <alignment horizontal="left" vertical="center" wrapText="1"/>
    </xf>
    <xf numFmtId="0" fontId="18" fillId="0" borderId="14" xfId="0" applyFont="1" applyBorder="1" applyAlignment="1">
      <alignment horizontal="left" vertical="center" wrapText="1"/>
    </xf>
    <xf numFmtId="0" fontId="12" fillId="5" borderId="0" xfId="0" applyFont="1" applyFill="1" applyAlignment="1">
      <alignment horizontal="left" vertical="center" wrapText="1"/>
    </xf>
    <xf numFmtId="0" fontId="0" fillId="0" borderId="11" xfId="0" applyBorder="1" applyAlignment="1">
      <alignment horizontal="center" vertical="center" wrapText="1"/>
    </xf>
    <xf numFmtId="0" fontId="0" fillId="0" borderId="0" xfId="0" applyAlignment="1">
      <alignment horizontal="center" vertical="center"/>
    </xf>
    <xf numFmtId="0" fontId="0" fillId="0" borderId="7" xfId="0" applyBorder="1" applyAlignment="1">
      <alignment horizontal="center" vertical="center"/>
    </xf>
    <xf numFmtId="0" fontId="0" fillId="0" borderId="11" xfId="0" applyBorder="1" applyAlignment="1">
      <alignment horizontal="center" vertical="center"/>
    </xf>
    <xf numFmtId="0" fontId="2" fillId="0" borderId="5" xfId="0" applyFont="1" applyBorder="1" applyAlignment="1">
      <alignment horizontal="center"/>
    </xf>
    <xf numFmtId="0" fontId="9" fillId="5" borderId="0" xfId="0" applyFont="1" applyFill="1" applyAlignment="1">
      <alignment horizontal="center"/>
    </xf>
    <xf numFmtId="0" fontId="0" fillId="0" borderId="0" xfId="0" applyAlignment="1">
      <alignment horizontal="right"/>
    </xf>
    <xf numFmtId="0" fontId="42" fillId="0" borderId="0" xfId="0" applyFont="1" applyAlignment="1">
      <alignment horizontal="right"/>
    </xf>
    <xf numFmtId="0" fontId="42" fillId="0" borderId="0" xfId="0" applyFont="1" applyAlignment="1">
      <alignment horizontal="center"/>
    </xf>
    <xf numFmtId="0" fontId="0" fillId="0" borderId="0" xfId="0" applyAlignment="1">
      <alignment horizontal="left" vertical="top"/>
    </xf>
  </cellXfs>
  <cellStyles count="2">
    <cellStyle name="Hyperlink" xfId="1" xr:uid="{00000000-000B-0000-0000-000008000000}"/>
    <cellStyle name="Normal" xfId="0" builtinId="0"/>
  </cellStyles>
  <dxfs count="0"/>
  <tableStyles count="0" defaultTableStyle="TableStyleMedium2" defaultPivotStyle="PivotStyleLight16"/>
  <colors>
    <mruColors>
      <color rgb="FFED858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5BF-47E1-96CE-F8E93E987D7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5BF-47E1-96CE-F8E93E987D7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5BF-47E1-96CE-F8E93E987D7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5BF-47E1-96CE-F8E93E987D7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5BF-47E1-96CE-F8E93E987D7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5BF-47E1-96CE-F8E93E987D7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D5BF-47E1-96CE-F8E93E987D7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D5BF-47E1-96CE-F8E93E987D7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D5BF-47E1-96CE-F8E93E987D7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D5BF-47E1-96CE-F8E93E987D7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D5BF-47E1-96CE-F8E93E987D7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D5BF-47E1-96CE-F8E93E987D7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D5BF-47E1-96CE-F8E93E987D7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D5BF-47E1-96CE-F8E93E987D7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D5BF-47E1-96CE-F8E93E987D75}"/>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D5BF-47E1-96CE-F8E93E987D75}"/>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D5BF-47E1-96CE-F8E93E987D7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0000"/>
                    </a:solidFill>
                    <a:latin typeface="+mn-lt"/>
                    <a:ea typeface="+mn-ea"/>
                    <a:cs typeface="+mn-cs"/>
                  </a:defRPr>
                </a:pPr>
                <a:endParaRPr lang="pt-PT"/>
              </a:p>
            </c:txPr>
            <c:showLegendKey val="1"/>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'Fator d''importância face ao PIB'!$E$31:$U$31</c:f>
              <c:strCache>
                <c:ptCount val="17"/>
                <c:pt idx="0">
                  <c:v>Agricultura, produção animal, caça, floresta e pesca</c:v>
                </c:pt>
                <c:pt idx="1">
                  <c:v>Indústrias extrativas</c:v>
                </c:pt>
                <c:pt idx="2">
                  <c:v>Indústrias transformadoras</c:v>
                </c:pt>
                <c:pt idx="3">
                  <c:v>Eletricidade, gás, vapor, água quente e fria e ar frio</c:v>
                </c:pt>
                <c:pt idx="4">
                  <c:v>Captação, tratamento e distribuição de água; saneamento, gestão de resíduos e despoluição</c:v>
                </c:pt>
                <c:pt idx="5">
                  <c:v>Construção</c:v>
                </c:pt>
                <c:pt idx="6">
                  <c:v>Comércio por grosso e a retalho; reparação de veículos automóveis e motociclos</c:v>
                </c:pt>
                <c:pt idx="7">
                  <c:v>Transportes e armazenagem</c:v>
                </c:pt>
                <c:pt idx="8">
                  <c:v>Alojamento, restauração e similares</c:v>
                </c:pt>
                <c:pt idx="9">
                  <c:v>Atividades de informação e de comunicação</c:v>
                </c:pt>
                <c:pt idx="10">
                  <c:v>Atividades imobiliárias</c:v>
                </c:pt>
                <c:pt idx="11">
                  <c:v>Atividades de consultoria, científicas, técnicas e similares</c:v>
                </c:pt>
                <c:pt idx="12">
                  <c:v>Atividades administrativas e dos serviços de apoio</c:v>
                </c:pt>
                <c:pt idx="13">
                  <c:v>Educação</c:v>
                </c:pt>
                <c:pt idx="14">
                  <c:v>Atividades de saúde humana e apoio  social</c:v>
                </c:pt>
                <c:pt idx="15">
                  <c:v>Atividades artísticas, de espetáculos, desportivas e recreativas</c:v>
                </c:pt>
                <c:pt idx="16">
                  <c:v>Outras</c:v>
                </c:pt>
              </c:strCache>
            </c:strRef>
          </c:cat>
          <c:val>
            <c:numRef>
              <c:f>'Fator d''importância face ao PIB'!$E$34:$U$34</c:f>
              <c:numCache>
                <c:formatCode>General</c:formatCode>
                <c:ptCount val="17"/>
                <c:pt idx="0">
                  <c:v>13</c:v>
                </c:pt>
                <c:pt idx="1">
                  <c:v>0</c:v>
                </c:pt>
                <c:pt idx="2">
                  <c:v>5</c:v>
                </c:pt>
                <c:pt idx="3">
                  <c:v>1</c:v>
                </c:pt>
                <c:pt idx="4">
                  <c:v>0</c:v>
                </c:pt>
                <c:pt idx="5">
                  <c:v>9</c:v>
                </c:pt>
                <c:pt idx="6">
                  <c:v>17</c:v>
                </c:pt>
                <c:pt idx="7">
                  <c:v>2</c:v>
                </c:pt>
                <c:pt idx="8">
                  <c:v>7</c:v>
                </c:pt>
                <c:pt idx="9">
                  <c:v>1</c:v>
                </c:pt>
                <c:pt idx="10">
                  <c:v>2</c:v>
                </c:pt>
                <c:pt idx="11">
                  <c:v>10</c:v>
                </c:pt>
                <c:pt idx="12">
                  <c:v>11</c:v>
                </c:pt>
                <c:pt idx="13">
                  <c:v>5</c:v>
                </c:pt>
                <c:pt idx="14">
                  <c:v>10</c:v>
                </c:pt>
                <c:pt idx="15">
                  <c:v>2</c:v>
                </c:pt>
                <c:pt idx="16">
                  <c:v>5</c:v>
                </c:pt>
              </c:numCache>
            </c:numRef>
          </c:val>
          <c:extLst>
            <c:ext xmlns:c16="http://schemas.microsoft.com/office/drawing/2014/chart" uri="{C3380CC4-5D6E-409C-BE32-E72D297353CC}">
              <c16:uniqueId val="{00000022-D5BF-47E1-96CE-F8E93E987D75}"/>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P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t-PT"/>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332-4C61-9B4F-690F50A1C37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332-4C61-9B4F-690F50A1C37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332-4C61-9B4F-690F50A1C37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332-4C61-9B4F-690F50A1C37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332-4C61-9B4F-690F50A1C378}"/>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332-4C61-9B4F-690F50A1C37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C332-4C61-9B4F-690F50A1C378}"/>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C332-4C61-9B4F-690F50A1C378}"/>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C332-4C61-9B4F-690F50A1C378}"/>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C332-4C61-9B4F-690F50A1C378}"/>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C332-4C61-9B4F-690F50A1C378}"/>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C332-4C61-9B4F-690F50A1C378}"/>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C332-4C61-9B4F-690F50A1C378}"/>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C332-4C61-9B4F-690F50A1C378}"/>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C332-4C61-9B4F-690F50A1C378}"/>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C332-4C61-9B4F-690F50A1C378}"/>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C332-4C61-9B4F-690F50A1C378}"/>
              </c:ext>
            </c:extLst>
          </c:dPt>
          <c:dLbls>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rgbClr val="000000"/>
                    </a:solidFill>
                    <a:latin typeface="+mn-lt"/>
                    <a:ea typeface="+mn-ea"/>
                    <a:cs typeface="+mn-cs"/>
                  </a:defRPr>
                </a:pPr>
                <a:endParaRPr lang="pt-PT"/>
              </a:p>
            </c:txPr>
            <c:showLegendKey val="1"/>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'Fator d''importância face ao PIB'!$E$31:$U$31</c:f>
              <c:strCache>
                <c:ptCount val="17"/>
                <c:pt idx="0">
                  <c:v>Agricultura, produção animal, caça, floresta e pesca</c:v>
                </c:pt>
                <c:pt idx="1">
                  <c:v>Indústrias extrativas</c:v>
                </c:pt>
                <c:pt idx="2">
                  <c:v>Indústrias transformadoras</c:v>
                </c:pt>
                <c:pt idx="3">
                  <c:v>Eletricidade, gás, vapor, água quente e fria e ar frio</c:v>
                </c:pt>
                <c:pt idx="4">
                  <c:v>Captação, tratamento e distribuição de água; saneamento, gestão de resíduos e despoluição</c:v>
                </c:pt>
                <c:pt idx="5">
                  <c:v>Construção</c:v>
                </c:pt>
                <c:pt idx="6">
                  <c:v>Comércio por grosso e a retalho; reparação de veículos automóveis e motociclos</c:v>
                </c:pt>
                <c:pt idx="7">
                  <c:v>Transportes e armazenagem</c:v>
                </c:pt>
                <c:pt idx="8">
                  <c:v>Alojamento, restauração e similares</c:v>
                </c:pt>
                <c:pt idx="9">
                  <c:v>Atividades de informação e de comunicação</c:v>
                </c:pt>
                <c:pt idx="10">
                  <c:v>Atividades imobiliárias</c:v>
                </c:pt>
                <c:pt idx="11">
                  <c:v>Atividades de consultoria, científicas, técnicas e similares</c:v>
                </c:pt>
                <c:pt idx="12">
                  <c:v>Atividades administrativas e dos serviços de apoio</c:v>
                </c:pt>
                <c:pt idx="13">
                  <c:v>Educação</c:v>
                </c:pt>
                <c:pt idx="14">
                  <c:v>Atividades de saúde humana e apoio  social</c:v>
                </c:pt>
                <c:pt idx="15">
                  <c:v>Atividades artísticas, de espetáculos, desportivas e recreativas</c:v>
                </c:pt>
                <c:pt idx="16">
                  <c:v>Outras</c:v>
                </c:pt>
              </c:strCache>
            </c:strRef>
          </c:cat>
          <c:val>
            <c:numRef>
              <c:f>'Fator d''importância face ao PIB'!$E$40:$U$40</c:f>
              <c:numCache>
                <c:formatCode>General</c:formatCode>
                <c:ptCount val="17"/>
                <c:pt idx="0">
                  <c:v>22</c:v>
                </c:pt>
                <c:pt idx="1">
                  <c:v>0</c:v>
                </c:pt>
                <c:pt idx="2">
                  <c:v>5</c:v>
                </c:pt>
                <c:pt idx="3">
                  <c:v>1</c:v>
                </c:pt>
                <c:pt idx="4">
                  <c:v>0</c:v>
                </c:pt>
                <c:pt idx="5">
                  <c:v>9</c:v>
                </c:pt>
                <c:pt idx="6">
                  <c:v>17</c:v>
                </c:pt>
                <c:pt idx="7">
                  <c:v>2</c:v>
                </c:pt>
                <c:pt idx="8">
                  <c:v>8</c:v>
                </c:pt>
                <c:pt idx="9">
                  <c:v>1</c:v>
                </c:pt>
                <c:pt idx="10">
                  <c:v>2</c:v>
                </c:pt>
                <c:pt idx="11">
                  <c:v>8</c:v>
                </c:pt>
                <c:pt idx="12">
                  <c:v>7</c:v>
                </c:pt>
                <c:pt idx="13">
                  <c:v>5</c:v>
                </c:pt>
                <c:pt idx="14">
                  <c:v>7</c:v>
                </c:pt>
                <c:pt idx="15">
                  <c:v>2</c:v>
                </c:pt>
                <c:pt idx="16">
                  <c:v>4</c:v>
                </c:pt>
              </c:numCache>
            </c:numRef>
          </c:val>
          <c:extLst>
            <c:ext xmlns:c16="http://schemas.microsoft.com/office/drawing/2014/chart" uri="{C3380CC4-5D6E-409C-BE32-E72D297353CC}">
              <c16:uniqueId val="{00000022-C332-4C61-9B4F-690F50A1C378}"/>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t-PT"/>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8B0-400E-9B9A-E4A99DC87F2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8B0-400E-9B9A-E4A99DC87F2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8B0-400E-9B9A-E4A99DC87F2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8B0-400E-9B9A-E4A99DC87F2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8B0-400E-9B9A-E4A99DC87F28}"/>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A8B0-400E-9B9A-E4A99DC87F2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A8B0-400E-9B9A-E4A99DC87F28}"/>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A8B0-400E-9B9A-E4A99DC87F28}"/>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A8B0-400E-9B9A-E4A99DC87F28}"/>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A8B0-400E-9B9A-E4A99DC87F28}"/>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A8B0-400E-9B9A-E4A99DC87F28}"/>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A8B0-400E-9B9A-E4A99DC87F28}"/>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A8B0-400E-9B9A-E4A99DC87F28}"/>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A8B0-400E-9B9A-E4A99DC87F28}"/>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A8B0-400E-9B9A-E4A99DC87F28}"/>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A8B0-400E-9B9A-E4A99DC87F28}"/>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A8B0-400E-9B9A-E4A99DC87F28}"/>
              </c:ext>
            </c:extLst>
          </c:dPt>
          <c:dLbls>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rgbClr val="000000"/>
                    </a:solidFill>
                    <a:latin typeface="+mn-lt"/>
                    <a:ea typeface="+mn-ea"/>
                    <a:cs typeface="+mn-cs"/>
                  </a:defRPr>
                </a:pPr>
                <a:endParaRPr lang="pt-PT"/>
              </a:p>
            </c:txPr>
            <c:showLegendKey val="1"/>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'Fator d''importância face ao PIB'!$E$31:$U$31</c:f>
              <c:strCache>
                <c:ptCount val="17"/>
                <c:pt idx="0">
                  <c:v>Agricultura, produção animal, caça, floresta e pesca</c:v>
                </c:pt>
                <c:pt idx="1">
                  <c:v>Indústrias extrativas</c:v>
                </c:pt>
                <c:pt idx="2">
                  <c:v>Indústrias transformadoras</c:v>
                </c:pt>
                <c:pt idx="3">
                  <c:v>Eletricidade, gás, vapor, água quente e fria e ar frio</c:v>
                </c:pt>
                <c:pt idx="4">
                  <c:v>Captação, tratamento e distribuição de água; saneamento, gestão de resíduos e despoluição</c:v>
                </c:pt>
                <c:pt idx="5">
                  <c:v>Construção</c:v>
                </c:pt>
                <c:pt idx="6">
                  <c:v>Comércio por grosso e a retalho; reparação de veículos automóveis e motociclos</c:v>
                </c:pt>
                <c:pt idx="7">
                  <c:v>Transportes e armazenagem</c:v>
                </c:pt>
                <c:pt idx="8">
                  <c:v>Alojamento, restauração e similares</c:v>
                </c:pt>
                <c:pt idx="9">
                  <c:v>Atividades de informação e de comunicação</c:v>
                </c:pt>
                <c:pt idx="10">
                  <c:v>Atividades imobiliárias</c:v>
                </c:pt>
                <c:pt idx="11">
                  <c:v>Atividades de consultoria, científicas, técnicas e similares</c:v>
                </c:pt>
                <c:pt idx="12">
                  <c:v>Atividades administrativas e dos serviços de apoio</c:v>
                </c:pt>
                <c:pt idx="13">
                  <c:v>Educação</c:v>
                </c:pt>
                <c:pt idx="14">
                  <c:v>Atividades de saúde humana e apoio  social</c:v>
                </c:pt>
                <c:pt idx="15">
                  <c:v>Atividades artísticas, de espetáculos, desportivas e recreativas</c:v>
                </c:pt>
                <c:pt idx="16">
                  <c:v>Outras</c:v>
                </c:pt>
              </c:strCache>
            </c:strRef>
          </c:cat>
          <c:val>
            <c:numRef>
              <c:f>'Fator d''importância face ao PIB'!$E$38:$U$38</c:f>
              <c:numCache>
                <c:formatCode>General</c:formatCode>
                <c:ptCount val="17"/>
                <c:pt idx="0">
                  <c:v>15</c:v>
                </c:pt>
                <c:pt idx="1">
                  <c:v>0</c:v>
                </c:pt>
                <c:pt idx="2">
                  <c:v>5</c:v>
                </c:pt>
                <c:pt idx="3">
                  <c:v>1</c:v>
                </c:pt>
                <c:pt idx="4">
                  <c:v>0</c:v>
                </c:pt>
                <c:pt idx="5">
                  <c:v>10</c:v>
                </c:pt>
                <c:pt idx="6">
                  <c:v>17</c:v>
                </c:pt>
                <c:pt idx="7">
                  <c:v>2</c:v>
                </c:pt>
                <c:pt idx="8">
                  <c:v>7</c:v>
                </c:pt>
                <c:pt idx="9">
                  <c:v>1</c:v>
                </c:pt>
                <c:pt idx="10">
                  <c:v>2</c:v>
                </c:pt>
                <c:pt idx="11">
                  <c:v>9</c:v>
                </c:pt>
                <c:pt idx="12">
                  <c:v>10</c:v>
                </c:pt>
                <c:pt idx="13">
                  <c:v>5</c:v>
                </c:pt>
                <c:pt idx="14">
                  <c:v>9</c:v>
                </c:pt>
                <c:pt idx="15">
                  <c:v>2</c:v>
                </c:pt>
                <c:pt idx="16">
                  <c:v>4</c:v>
                </c:pt>
              </c:numCache>
            </c:numRef>
          </c:val>
          <c:extLst>
            <c:ext xmlns:c16="http://schemas.microsoft.com/office/drawing/2014/chart" uri="{C3380CC4-5D6E-409C-BE32-E72D297353CC}">
              <c16:uniqueId val="{00000022-A8B0-400E-9B9A-E4A99DC87F28}"/>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t-PT"/>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D18-498E-BE0A-C98A23A9383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D18-498E-BE0A-C98A23A9383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D18-498E-BE0A-C98A23A9383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D18-498E-BE0A-C98A23A9383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D18-498E-BE0A-C98A23A9383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D18-498E-BE0A-C98A23A9383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CD18-498E-BE0A-C98A23A9383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CD18-498E-BE0A-C98A23A9383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CD18-498E-BE0A-C98A23A9383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CD18-498E-BE0A-C98A23A9383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CD18-498E-BE0A-C98A23A9383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CD18-498E-BE0A-C98A23A9383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CD18-498E-BE0A-C98A23A9383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CD18-498E-BE0A-C98A23A9383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CD18-498E-BE0A-C98A23A93835}"/>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CD18-498E-BE0A-C98A23A93835}"/>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CD18-498E-BE0A-C98A23A93835}"/>
              </c:ext>
            </c:extLst>
          </c:dPt>
          <c:dLbls>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rgbClr val="000000"/>
                    </a:solidFill>
                    <a:latin typeface="+mn-lt"/>
                    <a:ea typeface="+mn-ea"/>
                    <a:cs typeface="+mn-cs"/>
                  </a:defRPr>
                </a:pPr>
                <a:endParaRPr lang="pt-PT"/>
              </a:p>
            </c:txPr>
            <c:showLegendKey val="1"/>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'Fator d''importância face ao PIB'!$E$31:$U$31</c:f>
              <c:strCache>
                <c:ptCount val="17"/>
                <c:pt idx="0">
                  <c:v>Agricultura, produção animal, caça, floresta e pesca</c:v>
                </c:pt>
                <c:pt idx="1">
                  <c:v>Indústrias extrativas</c:v>
                </c:pt>
                <c:pt idx="2">
                  <c:v>Indústrias transformadoras</c:v>
                </c:pt>
                <c:pt idx="3">
                  <c:v>Eletricidade, gás, vapor, água quente e fria e ar frio</c:v>
                </c:pt>
                <c:pt idx="4">
                  <c:v>Captação, tratamento e distribuição de água; saneamento, gestão de resíduos e despoluição</c:v>
                </c:pt>
                <c:pt idx="5">
                  <c:v>Construção</c:v>
                </c:pt>
                <c:pt idx="6">
                  <c:v>Comércio por grosso e a retalho; reparação de veículos automóveis e motociclos</c:v>
                </c:pt>
                <c:pt idx="7">
                  <c:v>Transportes e armazenagem</c:v>
                </c:pt>
                <c:pt idx="8">
                  <c:v>Alojamento, restauração e similares</c:v>
                </c:pt>
                <c:pt idx="9">
                  <c:v>Atividades de informação e de comunicação</c:v>
                </c:pt>
                <c:pt idx="10">
                  <c:v>Atividades imobiliárias</c:v>
                </c:pt>
                <c:pt idx="11">
                  <c:v>Atividades de consultoria, científicas, técnicas e similares</c:v>
                </c:pt>
                <c:pt idx="12">
                  <c:v>Atividades administrativas e dos serviços de apoio</c:v>
                </c:pt>
                <c:pt idx="13">
                  <c:v>Educação</c:v>
                </c:pt>
                <c:pt idx="14">
                  <c:v>Atividades de saúde humana e apoio  social</c:v>
                </c:pt>
                <c:pt idx="15">
                  <c:v>Atividades artísticas, de espetáculos, desportivas e recreativas</c:v>
                </c:pt>
                <c:pt idx="16">
                  <c:v>Outras</c:v>
                </c:pt>
              </c:strCache>
            </c:strRef>
          </c:cat>
          <c:val>
            <c:numRef>
              <c:f>'Fator d''importância face ao PIB'!$E$36:$U$36</c:f>
              <c:numCache>
                <c:formatCode>General</c:formatCode>
                <c:ptCount val="17"/>
                <c:pt idx="0">
                  <c:v>9</c:v>
                </c:pt>
                <c:pt idx="1">
                  <c:v>0</c:v>
                </c:pt>
                <c:pt idx="2">
                  <c:v>4</c:v>
                </c:pt>
                <c:pt idx="3">
                  <c:v>1</c:v>
                </c:pt>
                <c:pt idx="4">
                  <c:v>0</c:v>
                </c:pt>
                <c:pt idx="5">
                  <c:v>8</c:v>
                </c:pt>
                <c:pt idx="6">
                  <c:v>17</c:v>
                </c:pt>
                <c:pt idx="7">
                  <c:v>2</c:v>
                </c:pt>
                <c:pt idx="8">
                  <c:v>7</c:v>
                </c:pt>
                <c:pt idx="9">
                  <c:v>1</c:v>
                </c:pt>
                <c:pt idx="10">
                  <c:v>3</c:v>
                </c:pt>
                <c:pt idx="11">
                  <c:v>11</c:v>
                </c:pt>
                <c:pt idx="12">
                  <c:v>13</c:v>
                </c:pt>
                <c:pt idx="13">
                  <c:v>5</c:v>
                </c:pt>
                <c:pt idx="14">
                  <c:v>12</c:v>
                </c:pt>
                <c:pt idx="15">
                  <c:v>3</c:v>
                </c:pt>
                <c:pt idx="16">
                  <c:v>5</c:v>
                </c:pt>
              </c:numCache>
            </c:numRef>
          </c:val>
          <c:extLst>
            <c:ext xmlns:c16="http://schemas.microsoft.com/office/drawing/2014/chart" uri="{C3380CC4-5D6E-409C-BE32-E72D297353CC}">
              <c16:uniqueId val="{00000022-CD18-498E-BE0A-C98A23A93835}"/>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t-PT"/>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chart" Target="../charts/chart2.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3.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1.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5" Type="http://schemas.openxmlformats.org/officeDocument/2006/relationships/image" Target="../media/image9.png"/><Relationship Id="rId4" Type="http://schemas.openxmlformats.org/officeDocument/2006/relationships/image" Target="../media/image8.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13" Type="http://schemas.openxmlformats.org/officeDocument/2006/relationships/image" Target="../media/image24.png"/><Relationship Id="rId18" Type="http://schemas.openxmlformats.org/officeDocument/2006/relationships/image" Target="../media/image29.png"/><Relationship Id="rId3" Type="http://schemas.openxmlformats.org/officeDocument/2006/relationships/image" Target="../media/image14.png"/><Relationship Id="rId7" Type="http://schemas.openxmlformats.org/officeDocument/2006/relationships/image" Target="../media/image18.png"/><Relationship Id="rId12" Type="http://schemas.openxmlformats.org/officeDocument/2006/relationships/image" Target="../media/image23.png"/><Relationship Id="rId17" Type="http://schemas.openxmlformats.org/officeDocument/2006/relationships/image" Target="../media/image28.png"/><Relationship Id="rId2" Type="http://schemas.openxmlformats.org/officeDocument/2006/relationships/image" Target="../media/image13.png"/><Relationship Id="rId16" Type="http://schemas.openxmlformats.org/officeDocument/2006/relationships/image" Target="../media/image27.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5" Type="http://schemas.openxmlformats.org/officeDocument/2006/relationships/image" Target="../media/image26.png"/><Relationship Id="rId10" Type="http://schemas.openxmlformats.org/officeDocument/2006/relationships/image" Target="../media/image21.png"/><Relationship Id="rId19" Type="http://schemas.openxmlformats.org/officeDocument/2006/relationships/image" Target="../media/image30.png"/><Relationship Id="rId4" Type="http://schemas.openxmlformats.org/officeDocument/2006/relationships/image" Target="../media/image15.png"/><Relationship Id="rId9" Type="http://schemas.openxmlformats.org/officeDocument/2006/relationships/image" Target="../media/image20.png"/><Relationship Id="rId1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1" Type="http://schemas.openxmlformats.org/officeDocument/2006/relationships/image" Target="../media/image31.png"/></Relationships>
</file>

<file path=xl/drawings/_rels/drawing7.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8.xml.rels><?xml version="1.0" encoding="UTF-8" standalone="yes"?>
<Relationships xmlns="http://schemas.openxmlformats.org/package/2006/relationships"><Relationship Id="rId8" Type="http://schemas.openxmlformats.org/officeDocument/2006/relationships/image" Target="../media/image42.png"/><Relationship Id="rId3" Type="http://schemas.openxmlformats.org/officeDocument/2006/relationships/image" Target="../media/image37.png"/><Relationship Id="rId7" Type="http://schemas.openxmlformats.org/officeDocument/2006/relationships/image" Target="../media/image41.png"/><Relationship Id="rId2" Type="http://schemas.openxmlformats.org/officeDocument/2006/relationships/image" Target="../media/image36.png"/><Relationship Id="rId1" Type="http://schemas.openxmlformats.org/officeDocument/2006/relationships/image" Target="../media/image35.png"/><Relationship Id="rId6" Type="http://schemas.openxmlformats.org/officeDocument/2006/relationships/image" Target="../media/image40.png"/><Relationship Id="rId5" Type="http://schemas.openxmlformats.org/officeDocument/2006/relationships/image" Target="../media/image39.png"/><Relationship Id="rId4" Type="http://schemas.openxmlformats.org/officeDocument/2006/relationships/image" Target="../media/image38.png"/><Relationship Id="rId9" Type="http://schemas.openxmlformats.org/officeDocument/2006/relationships/image" Target="../media/image43.png"/></Relationships>
</file>

<file path=xl/drawings/_rels/drawing9.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9</xdr:col>
      <xdr:colOff>1095375</xdr:colOff>
      <xdr:row>48</xdr:row>
      <xdr:rowOff>104775</xdr:rowOff>
    </xdr:to>
    <xdr:sp macro="" textlink="">
      <xdr:nvSpPr>
        <xdr:cNvPr id="6149" name="AutoShape 5">
          <a:extLst>
            <a:ext uri="{FF2B5EF4-FFF2-40B4-BE49-F238E27FC236}">
              <a16:creationId xmlns:a16="http://schemas.microsoft.com/office/drawing/2014/main" id="{93161DC2-0AAE-0CF0-0B1D-4F864C46D893}"/>
            </a:ext>
          </a:extLst>
        </xdr:cNvPr>
        <xdr:cNvSpPr>
          <a:spLocks noChangeArrowheads="1"/>
        </xdr:cNvSpPr>
      </xdr:nvSpPr>
      <xdr:spPr bwMode="auto">
        <a:xfrm>
          <a:off x="0" y="0"/>
          <a:ext cx="9525000" cy="9525000"/>
        </a:xfrm>
        <a:custGeom>
          <a:avLst/>
          <a:gdLst/>
          <a:ahLst/>
          <a:cxnLst/>
          <a:rect l="0" t="0" r="0" b="0"/>
          <a:pathLst/>
        </a:custGeom>
        <a:solidFill>
          <a:srgbClr val="FFFFFF"/>
        </a:solidFill>
        <a:ln w="9525">
          <a:solidFill>
            <a:srgbClr val="000000"/>
          </a:solidFill>
          <a:round/>
          <a:headEnd/>
          <a:tailEnd/>
        </a:ln>
      </xdr:spPr>
    </xdr:sp>
    <xdr:clientData/>
  </xdr:twoCellAnchor>
  <xdr:twoCellAnchor editAs="oneCell">
    <xdr:from>
      <xdr:col>16</xdr:col>
      <xdr:colOff>952500</xdr:colOff>
      <xdr:row>68</xdr:row>
      <xdr:rowOff>104775</xdr:rowOff>
    </xdr:from>
    <xdr:to>
      <xdr:col>17</xdr:col>
      <xdr:colOff>1762125</xdr:colOff>
      <xdr:row>92</xdr:row>
      <xdr:rowOff>133350</xdr:rowOff>
    </xdr:to>
    <xdr:pic>
      <xdr:nvPicPr>
        <xdr:cNvPr id="2" name="Imagem 1">
          <a:extLst>
            <a:ext uri="{FF2B5EF4-FFF2-40B4-BE49-F238E27FC236}">
              <a16:creationId xmlns:a16="http://schemas.microsoft.com/office/drawing/2014/main" id="{03DF853A-398E-9E40-EF80-EC9694DC7750}"/>
            </a:ext>
            <a:ext uri="{147F2762-F138-4A5C-976F-8EAC2B608ADB}">
              <a16:predDERef xmlns:a16="http://schemas.microsoft.com/office/drawing/2014/main" pred="{93161DC2-0AAE-0CF0-0B1D-4F864C46D893}"/>
            </a:ext>
          </a:extLst>
        </xdr:cNvPr>
        <xdr:cNvPicPr>
          <a:picLocks noChangeAspect="1"/>
        </xdr:cNvPicPr>
      </xdr:nvPicPr>
      <xdr:blipFill>
        <a:blip xmlns:r="http://schemas.openxmlformats.org/officeDocument/2006/relationships" r:embed="rId1"/>
        <a:stretch>
          <a:fillRect/>
        </a:stretch>
      </xdr:blipFill>
      <xdr:spPr>
        <a:xfrm>
          <a:off x="16002000" y="13573125"/>
          <a:ext cx="2362200" cy="4600575"/>
        </a:xfrm>
        <a:prstGeom prst="rect">
          <a:avLst/>
        </a:prstGeom>
      </xdr:spPr>
    </xdr:pic>
    <xdr:clientData/>
  </xdr:twoCellAnchor>
  <xdr:twoCellAnchor editAs="oneCell">
    <xdr:from>
      <xdr:col>17</xdr:col>
      <xdr:colOff>2762250</xdr:colOff>
      <xdr:row>59</xdr:row>
      <xdr:rowOff>114300</xdr:rowOff>
    </xdr:from>
    <xdr:to>
      <xdr:col>22</xdr:col>
      <xdr:colOff>323850</xdr:colOff>
      <xdr:row>99</xdr:row>
      <xdr:rowOff>28575</xdr:rowOff>
    </xdr:to>
    <xdr:pic>
      <xdr:nvPicPr>
        <xdr:cNvPr id="5" name="Imagem 4">
          <a:extLst>
            <a:ext uri="{FF2B5EF4-FFF2-40B4-BE49-F238E27FC236}">
              <a16:creationId xmlns:a16="http://schemas.microsoft.com/office/drawing/2014/main" id="{C52DCA4A-9852-436D-FFED-0630D274E998}"/>
            </a:ext>
            <a:ext uri="{147F2762-F138-4A5C-976F-8EAC2B608ADB}">
              <a16:predDERef xmlns:a16="http://schemas.microsoft.com/office/drawing/2014/main" pred="{03DF853A-398E-9E40-EF80-EC9694DC7750}"/>
            </a:ext>
          </a:extLst>
        </xdr:cNvPr>
        <xdr:cNvPicPr>
          <a:picLocks noChangeAspect="1"/>
        </xdr:cNvPicPr>
      </xdr:nvPicPr>
      <xdr:blipFill>
        <a:blip xmlns:r="http://schemas.openxmlformats.org/officeDocument/2006/relationships" r:embed="rId2"/>
        <a:stretch>
          <a:fillRect/>
        </a:stretch>
      </xdr:blipFill>
      <xdr:spPr>
        <a:xfrm>
          <a:off x="19364325" y="11868150"/>
          <a:ext cx="2781300" cy="77343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4</xdr:col>
      <xdr:colOff>114300</xdr:colOff>
      <xdr:row>0</xdr:row>
      <xdr:rowOff>0</xdr:rowOff>
    </xdr:from>
    <xdr:to>
      <xdr:col>27</xdr:col>
      <xdr:colOff>361950</xdr:colOff>
      <xdr:row>46</xdr:row>
      <xdr:rowOff>104775</xdr:rowOff>
    </xdr:to>
    <xdr:graphicFrame macro="">
      <xdr:nvGraphicFramePr>
        <xdr:cNvPr id="31" name="Gráfico 1">
          <a:extLst>
            <a:ext uri="{FF2B5EF4-FFF2-40B4-BE49-F238E27FC236}">
              <a16:creationId xmlns:a16="http://schemas.microsoft.com/office/drawing/2014/main" id="{5F933030-F399-4FDD-871B-2EF530B981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0</xdr:colOff>
      <xdr:row>37</xdr:row>
      <xdr:rowOff>180975</xdr:rowOff>
    </xdr:to>
    <xdr:graphicFrame macro="">
      <xdr:nvGraphicFramePr>
        <xdr:cNvPr id="18" name="Gráfico 1">
          <a:extLst>
            <a:ext uri="{FF2B5EF4-FFF2-40B4-BE49-F238E27FC236}">
              <a16:creationId xmlns:a16="http://schemas.microsoft.com/office/drawing/2014/main" id="{91972293-EFE4-43F4-BF8F-E5EDD7CF66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2</xdr:col>
      <xdr:colOff>457200</xdr:colOff>
      <xdr:row>7</xdr:row>
      <xdr:rowOff>76200</xdr:rowOff>
    </xdr:from>
    <xdr:to>
      <xdr:col>20</xdr:col>
      <xdr:colOff>533400</xdr:colOff>
      <xdr:row>43</xdr:row>
      <xdr:rowOff>114300</xdr:rowOff>
    </xdr:to>
    <xdr:graphicFrame macro="">
      <xdr:nvGraphicFramePr>
        <xdr:cNvPr id="21" name="Gráfico 1">
          <a:extLst>
            <a:ext uri="{FF2B5EF4-FFF2-40B4-BE49-F238E27FC236}">
              <a16:creationId xmlns:a16="http://schemas.microsoft.com/office/drawing/2014/main" id="{570663BE-40D2-462C-89E9-A4E7235E25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9525</xdr:colOff>
      <xdr:row>33</xdr:row>
      <xdr:rowOff>85725</xdr:rowOff>
    </xdr:from>
    <xdr:to>
      <xdr:col>5</xdr:col>
      <xdr:colOff>247650</xdr:colOff>
      <xdr:row>59</xdr:row>
      <xdr:rowOff>152400</xdr:rowOff>
    </xdr:to>
    <xdr:pic>
      <xdr:nvPicPr>
        <xdr:cNvPr id="2" name="Imagem 1">
          <a:extLst>
            <a:ext uri="{FF2B5EF4-FFF2-40B4-BE49-F238E27FC236}">
              <a16:creationId xmlns:a16="http://schemas.microsoft.com/office/drawing/2014/main" id="{58518787-4B83-F80B-5720-DF23CCE1899C}"/>
            </a:ext>
          </a:extLst>
        </xdr:cNvPr>
        <xdr:cNvPicPr>
          <a:picLocks noChangeAspect="1"/>
        </xdr:cNvPicPr>
      </xdr:nvPicPr>
      <xdr:blipFill>
        <a:blip xmlns:r="http://schemas.openxmlformats.org/officeDocument/2006/relationships" r:embed="rId1"/>
        <a:stretch>
          <a:fillRect/>
        </a:stretch>
      </xdr:blipFill>
      <xdr:spPr>
        <a:xfrm>
          <a:off x="9525" y="5991225"/>
          <a:ext cx="7248525" cy="50196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180975</xdr:colOff>
      <xdr:row>33</xdr:row>
      <xdr:rowOff>9525</xdr:rowOff>
    </xdr:from>
    <xdr:to>
      <xdr:col>16</xdr:col>
      <xdr:colOff>9525</xdr:colOff>
      <xdr:row>57</xdr:row>
      <xdr:rowOff>76200</xdr:rowOff>
    </xdr:to>
    <xdr:pic>
      <xdr:nvPicPr>
        <xdr:cNvPr id="11" name="Imagem 2">
          <a:extLst>
            <a:ext uri="{FF2B5EF4-FFF2-40B4-BE49-F238E27FC236}">
              <a16:creationId xmlns:a16="http://schemas.microsoft.com/office/drawing/2014/main" id="{39A993B1-24CD-4A60-A0DC-A2F0A5074CCF}"/>
            </a:ext>
            <a:ext uri="{147F2762-F138-4A5C-976F-8EAC2B608ADB}">
              <a16:predDERef xmlns:a16="http://schemas.microsoft.com/office/drawing/2014/main" pred="{A5F62B4D-1162-C2C8-924E-06C9213A2637}"/>
            </a:ext>
          </a:extLst>
        </xdr:cNvPr>
        <xdr:cNvPicPr>
          <a:picLocks noChangeAspect="1"/>
        </xdr:cNvPicPr>
      </xdr:nvPicPr>
      <xdr:blipFill>
        <a:blip xmlns:r="http://schemas.openxmlformats.org/officeDocument/2006/relationships" r:embed="rId1"/>
        <a:stretch>
          <a:fillRect/>
        </a:stretch>
      </xdr:blipFill>
      <xdr:spPr>
        <a:xfrm>
          <a:off x="7896225" y="6315075"/>
          <a:ext cx="6172200" cy="46577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0</xdr:colOff>
      <xdr:row>3</xdr:row>
      <xdr:rowOff>47625</xdr:rowOff>
    </xdr:from>
    <xdr:to>
      <xdr:col>14</xdr:col>
      <xdr:colOff>361950</xdr:colOff>
      <xdr:row>15</xdr:row>
      <xdr:rowOff>19050</xdr:rowOff>
    </xdr:to>
    <xdr:pic>
      <xdr:nvPicPr>
        <xdr:cNvPr id="2" name="Imagem 1">
          <a:extLst>
            <a:ext uri="{FF2B5EF4-FFF2-40B4-BE49-F238E27FC236}">
              <a16:creationId xmlns:a16="http://schemas.microsoft.com/office/drawing/2014/main" id="{5B22FA0C-5A1E-183D-42D3-05990D76449B}"/>
            </a:ext>
          </a:extLst>
        </xdr:cNvPr>
        <xdr:cNvPicPr>
          <a:picLocks noChangeAspect="1"/>
        </xdr:cNvPicPr>
      </xdr:nvPicPr>
      <xdr:blipFill>
        <a:blip xmlns:r="http://schemas.openxmlformats.org/officeDocument/2006/relationships" r:embed="rId1"/>
        <a:stretch>
          <a:fillRect/>
        </a:stretch>
      </xdr:blipFill>
      <xdr:spPr>
        <a:xfrm>
          <a:off x="6343650" y="619125"/>
          <a:ext cx="4314825" cy="2790825"/>
        </a:xfrm>
        <a:prstGeom prst="rect">
          <a:avLst/>
        </a:prstGeom>
      </xdr:spPr>
    </xdr:pic>
    <xdr:clientData/>
  </xdr:twoCellAnchor>
  <xdr:twoCellAnchor editAs="oneCell">
    <xdr:from>
      <xdr:col>12</xdr:col>
      <xdr:colOff>790575</xdr:colOff>
      <xdr:row>23</xdr:row>
      <xdr:rowOff>180975</xdr:rowOff>
    </xdr:from>
    <xdr:to>
      <xdr:col>15</xdr:col>
      <xdr:colOff>752475</xdr:colOff>
      <xdr:row>30</xdr:row>
      <xdr:rowOff>57150</xdr:rowOff>
    </xdr:to>
    <xdr:pic>
      <xdr:nvPicPr>
        <xdr:cNvPr id="10" name="Imagem 9">
          <a:extLst>
            <a:ext uri="{FF2B5EF4-FFF2-40B4-BE49-F238E27FC236}">
              <a16:creationId xmlns:a16="http://schemas.microsoft.com/office/drawing/2014/main" id="{774F08B0-52D2-CC89-CA17-56B5A3B159CA}"/>
            </a:ext>
            <a:ext uri="{147F2762-F138-4A5C-976F-8EAC2B608ADB}">
              <a16:predDERef xmlns:a16="http://schemas.microsoft.com/office/drawing/2014/main" pred="{5B22FA0C-5A1E-183D-42D3-05990D76449B}"/>
            </a:ext>
          </a:extLst>
        </xdr:cNvPr>
        <xdr:cNvPicPr>
          <a:picLocks noChangeAspect="1"/>
        </xdr:cNvPicPr>
      </xdr:nvPicPr>
      <xdr:blipFill>
        <a:blip xmlns:r="http://schemas.openxmlformats.org/officeDocument/2006/relationships" r:embed="rId2"/>
        <a:stretch>
          <a:fillRect/>
        </a:stretch>
      </xdr:blipFill>
      <xdr:spPr>
        <a:xfrm>
          <a:off x="10096500" y="6715125"/>
          <a:ext cx="2476500" cy="1209675"/>
        </a:xfrm>
        <a:prstGeom prst="rect">
          <a:avLst/>
        </a:prstGeom>
      </xdr:spPr>
    </xdr:pic>
    <xdr:clientData/>
  </xdr:twoCellAnchor>
  <xdr:twoCellAnchor editAs="oneCell">
    <xdr:from>
      <xdr:col>10</xdr:col>
      <xdr:colOff>790575</xdr:colOff>
      <xdr:row>23</xdr:row>
      <xdr:rowOff>47625</xdr:rowOff>
    </xdr:from>
    <xdr:to>
      <xdr:col>12</xdr:col>
      <xdr:colOff>228600</xdr:colOff>
      <xdr:row>28</xdr:row>
      <xdr:rowOff>9525</xdr:rowOff>
    </xdr:to>
    <xdr:pic>
      <xdr:nvPicPr>
        <xdr:cNvPr id="11" name="Imagem 10">
          <a:extLst>
            <a:ext uri="{FF2B5EF4-FFF2-40B4-BE49-F238E27FC236}">
              <a16:creationId xmlns:a16="http://schemas.microsoft.com/office/drawing/2014/main" id="{627C9165-5897-2F9D-7B60-6A18A0066AA0}"/>
            </a:ext>
            <a:ext uri="{147F2762-F138-4A5C-976F-8EAC2B608ADB}">
              <a16:predDERef xmlns:a16="http://schemas.microsoft.com/office/drawing/2014/main" pred="{774F08B0-52D2-CC89-CA17-56B5A3B159CA}"/>
            </a:ext>
          </a:extLst>
        </xdr:cNvPr>
        <xdr:cNvPicPr>
          <a:picLocks noChangeAspect="1"/>
        </xdr:cNvPicPr>
      </xdr:nvPicPr>
      <xdr:blipFill>
        <a:blip xmlns:r="http://schemas.openxmlformats.org/officeDocument/2006/relationships" r:embed="rId3"/>
        <a:stretch>
          <a:fillRect/>
        </a:stretch>
      </xdr:blipFill>
      <xdr:spPr>
        <a:xfrm>
          <a:off x="8048625" y="6581775"/>
          <a:ext cx="1485900" cy="914400"/>
        </a:xfrm>
        <a:prstGeom prst="rect">
          <a:avLst/>
        </a:prstGeom>
      </xdr:spPr>
    </xdr:pic>
    <xdr:clientData/>
  </xdr:twoCellAnchor>
  <xdr:twoCellAnchor editAs="oneCell">
    <xdr:from>
      <xdr:col>10</xdr:col>
      <xdr:colOff>209550</xdr:colOff>
      <xdr:row>28</xdr:row>
      <xdr:rowOff>57150</xdr:rowOff>
    </xdr:from>
    <xdr:to>
      <xdr:col>12</xdr:col>
      <xdr:colOff>561975</xdr:colOff>
      <xdr:row>30</xdr:row>
      <xdr:rowOff>180975</xdr:rowOff>
    </xdr:to>
    <xdr:pic>
      <xdr:nvPicPr>
        <xdr:cNvPr id="12" name="Imagem 11">
          <a:extLst>
            <a:ext uri="{FF2B5EF4-FFF2-40B4-BE49-F238E27FC236}">
              <a16:creationId xmlns:a16="http://schemas.microsoft.com/office/drawing/2014/main" id="{777DC17B-AE03-106D-C9F9-32F45E7AE63F}"/>
            </a:ext>
            <a:ext uri="{147F2762-F138-4A5C-976F-8EAC2B608ADB}">
              <a16:predDERef xmlns:a16="http://schemas.microsoft.com/office/drawing/2014/main" pred="{627C9165-5897-2F9D-7B60-6A18A0066AA0}"/>
            </a:ext>
          </a:extLst>
        </xdr:cNvPr>
        <xdr:cNvPicPr>
          <a:picLocks noChangeAspect="1"/>
        </xdr:cNvPicPr>
      </xdr:nvPicPr>
      <xdr:blipFill>
        <a:blip xmlns:r="http://schemas.openxmlformats.org/officeDocument/2006/relationships" r:embed="rId4"/>
        <a:stretch>
          <a:fillRect/>
        </a:stretch>
      </xdr:blipFill>
      <xdr:spPr>
        <a:xfrm>
          <a:off x="7467600" y="7543800"/>
          <a:ext cx="2400300" cy="504825"/>
        </a:xfrm>
        <a:prstGeom prst="rect">
          <a:avLst/>
        </a:prstGeom>
      </xdr:spPr>
    </xdr:pic>
    <xdr:clientData/>
  </xdr:twoCellAnchor>
  <xdr:twoCellAnchor editAs="oneCell">
    <xdr:from>
      <xdr:col>12</xdr:col>
      <xdr:colOff>457200</xdr:colOff>
      <xdr:row>31</xdr:row>
      <xdr:rowOff>114300</xdr:rowOff>
    </xdr:from>
    <xdr:to>
      <xdr:col>15</xdr:col>
      <xdr:colOff>333375</xdr:colOff>
      <xdr:row>38</xdr:row>
      <xdr:rowOff>295275</xdr:rowOff>
    </xdr:to>
    <xdr:pic>
      <xdr:nvPicPr>
        <xdr:cNvPr id="24" name="Imagem 15">
          <a:extLst>
            <a:ext uri="{FF2B5EF4-FFF2-40B4-BE49-F238E27FC236}">
              <a16:creationId xmlns:a16="http://schemas.microsoft.com/office/drawing/2014/main" id="{D898F0BC-D163-376F-485A-688A9D69F38B}"/>
            </a:ext>
            <a:ext uri="{147F2762-F138-4A5C-976F-8EAC2B608ADB}">
              <a16:predDERef xmlns:a16="http://schemas.microsoft.com/office/drawing/2014/main" pred="{777DC17B-AE03-106D-C9F9-32F45E7AE63F}"/>
            </a:ext>
          </a:extLst>
        </xdr:cNvPr>
        <xdr:cNvPicPr>
          <a:picLocks noChangeAspect="1"/>
        </xdr:cNvPicPr>
      </xdr:nvPicPr>
      <xdr:blipFill>
        <a:blip xmlns:r="http://schemas.openxmlformats.org/officeDocument/2006/relationships" r:embed="rId5"/>
        <a:stretch>
          <a:fillRect/>
        </a:stretch>
      </xdr:blipFill>
      <xdr:spPr>
        <a:xfrm>
          <a:off x="9763125" y="12801600"/>
          <a:ext cx="2390775" cy="1514475"/>
        </a:xfrm>
        <a:prstGeom prst="rect">
          <a:avLst/>
        </a:prstGeom>
      </xdr:spPr>
    </xdr:pic>
    <xdr:clientData/>
  </xdr:twoCellAnchor>
  <xdr:twoCellAnchor editAs="oneCell">
    <xdr:from>
      <xdr:col>10</xdr:col>
      <xdr:colOff>600075</xdr:colOff>
      <xdr:row>31</xdr:row>
      <xdr:rowOff>66675</xdr:rowOff>
    </xdr:from>
    <xdr:to>
      <xdr:col>12</xdr:col>
      <xdr:colOff>95250</xdr:colOff>
      <xdr:row>38</xdr:row>
      <xdr:rowOff>276225</xdr:rowOff>
    </xdr:to>
    <xdr:pic>
      <xdr:nvPicPr>
        <xdr:cNvPr id="41" name="Imagem 16">
          <a:extLst>
            <a:ext uri="{FF2B5EF4-FFF2-40B4-BE49-F238E27FC236}">
              <a16:creationId xmlns:a16="http://schemas.microsoft.com/office/drawing/2014/main" id="{B9EFCD10-911B-855A-74D9-6CCE53136DA7}"/>
            </a:ext>
            <a:ext uri="{147F2762-F138-4A5C-976F-8EAC2B608ADB}">
              <a16:predDERef xmlns:a16="http://schemas.microsoft.com/office/drawing/2014/main" pred="{D898F0BC-D163-376F-485A-688A9D69F38B}"/>
            </a:ext>
          </a:extLst>
        </xdr:cNvPr>
        <xdr:cNvPicPr>
          <a:picLocks noChangeAspect="1"/>
        </xdr:cNvPicPr>
      </xdr:nvPicPr>
      <xdr:blipFill>
        <a:blip xmlns:r="http://schemas.openxmlformats.org/officeDocument/2006/relationships" r:embed="rId6"/>
        <a:stretch>
          <a:fillRect/>
        </a:stretch>
      </xdr:blipFill>
      <xdr:spPr>
        <a:xfrm>
          <a:off x="7858125" y="8277225"/>
          <a:ext cx="1543050" cy="1543050"/>
        </a:xfrm>
        <a:prstGeom prst="rect">
          <a:avLst/>
        </a:prstGeom>
      </xdr:spPr>
    </xdr:pic>
    <xdr:clientData/>
  </xdr:twoCellAnchor>
  <xdr:twoCellAnchor>
    <xdr:from>
      <xdr:col>7</xdr:col>
      <xdr:colOff>600075</xdr:colOff>
      <xdr:row>6</xdr:row>
      <xdr:rowOff>28575</xdr:rowOff>
    </xdr:from>
    <xdr:to>
      <xdr:col>9</xdr:col>
      <xdr:colOff>400050</xdr:colOff>
      <xdr:row>8</xdr:row>
      <xdr:rowOff>152400</xdr:rowOff>
    </xdr:to>
    <xdr:sp macro="" textlink="">
      <xdr:nvSpPr>
        <xdr:cNvPr id="19" name="Seta Para a Direita 18">
          <a:extLst>
            <a:ext uri="{FF2B5EF4-FFF2-40B4-BE49-F238E27FC236}">
              <a16:creationId xmlns:a16="http://schemas.microsoft.com/office/drawing/2014/main" id="{47A95ACC-E7D0-1F78-1DE1-BE988022A825}"/>
            </a:ext>
            <a:ext uri="{147F2762-F138-4A5C-976F-8EAC2B608ADB}">
              <a16:predDERef xmlns:a16="http://schemas.microsoft.com/office/drawing/2014/main" pred="{B9EFCD10-911B-855A-74D9-6CCE53136DA7}"/>
            </a:ext>
          </a:extLst>
        </xdr:cNvPr>
        <xdr:cNvSpPr/>
      </xdr:nvSpPr>
      <xdr:spPr>
        <a:xfrm>
          <a:off x="5114925" y="117157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7</xdr:col>
      <xdr:colOff>600075</xdr:colOff>
      <xdr:row>11</xdr:row>
      <xdr:rowOff>28575</xdr:rowOff>
    </xdr:from>
    <xdr:to>
      <xdr:col>9</xdr:col>
      <xdr:colOff>400050</xdr:colOff>
      <xdr:row>13</xdr:row>
      <xdr:rowOff>152400</xdr:rowOff>
    </xdr:to>
    <xdr:sp macro="" textlink="">
      <xdr:nvSpPr>
        <xdr:cNvPr id="20" name="Seta Para a Direita 19">
          <a:extLst>
            <a:ext uri="{FF2B5EF4-FFF2-40B4-BE49-F238E27FC236}">
              <a16:creationId xmlns:a16="http://schemas.microsoft.com/office/drawing/2014/main" id="{90D111BC-217C-4B99-A711-E1B2D1633D7D}"/>
            </a:ext>
            <a:ext uri="{147F2762-F138-4A5C-976F-8EAC2B608ADB}">
              <a16:predDERef xmlns:a16="http://schemas.microsoft.com/office/drawing/2014/main" pred="{47A95ACC-E7D0-1F78-1DE1-BE988022A825}"/>
            </a:ext>
          </a:extLst>
        </xdr:cNvPr>
        <xdr:cNvSpPr/>
      </xdr:nvSpPr>
      <xdr:spPr>
        <a:xfrm>
          <a:off x="5114925" y="212407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15</xdr:col>
      <xdr:colOff>590550</xdr:colOff>
      <xdr:row>6</xdr:row>
      <xdr:rowOff>28575</xdr:rowOff>
    </xdr:from>
    <xdr:to>
      <xdr:col>16</xdr:col>
      <xdr:colOff>2295525</xdr:colOff>
      <xdr:row>8</xdr:row>
      <xdr:rowOff>152400</xdr:rowOff>
    </xdr:to>
    <xdr:sp macro="" textlink="">
      <xdr:nvSpPr>
        <xdr:cNvPr id="21" name="Seta Para a Direita 20">
          <a:extLst>
            <a:ext uri="{FF2B5EF4-FFF2-40B4-BE49-F238E27FC236}">
              <a16:creationId xmlns:a16="http://schemas.microsoft.com/office/drawing/2014/main" id="{EB4DB78E-F11A-44E2-A7FC-3F8B3B4B3D3D}"/>
            </a:ext>
            <a:ext uri="{147F2762-F138-4A5C-976F-8EAC2B608ADB}">
              <a16:predDERef xmlns:a16="http://schemas.microsoft.com/office/drawing/2014/main" pred="{90D111BC-217C-4B99-A711-E1B2D1633D7D}"/>
            </a:ext>
          </a:extLst>
        </xdr:cNvPr>
        <xdr:cNvSpPr/>
      </xdr:nvSpPr>
      <xdr:spPr>
        <a:xfrm>
          <a:off x="10887075" y="1171575"/>
          <a:ext cx="23145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15</xdr:col>
      <xdr:colOff>590550</xdr:colOff>
      <xdr:row>12</xdr:row>
      <xdr:rowOff>9525</xdr:rowOff>
    </xdr:from>
    <xdr:to>
      <xdr:col>16</xdr:col>
      <xdr:colOff>2257425</xdr:colOff>
      <xdr:row>14</xdr:row>
      <xdr:rowOff>133350</xdr:rowOff>
    </xdr:to>
    <xdr:sp macro="" textlink="">
      <xdr:nvSpPr>
        <xdr:cNvPr id="22" name="Seta Para a Direita 21">
          <a:extLst>
            <a:ext uri="{FF2B5EF4-FFF2-40B4-BE49-F238E27FC236}">
              <a16:creationId xmlns:a16="http://schemas.microsoft.com/office/drawing/2014/main" id="{22F3C3EA-A0E7-4D8E-8F30-AB2275B1EA60}"/>
            </a:ext>
            <a:ext uri="{147F2762-F138-4A5C-976F-8EAC2B608ADB}">
              <a16:predDERef xmlns:a16="http://schemas.microsoft.com/office/drawing/2014/main" pred="{EB4DB78E-F11A-44E2-A7FC-3F8B3B4B3D3D}"/>
            </a:ext>
          </a:extLst>
        </xdr:cNvPr>
        <xdr:cNvSpPr/>
      </xdr:nvSpPr>
      <xdr:spPr>
        <a:xfrm>
          <a:off x="10887075" y="2295525"/>
          <a:ext cx="22764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14</xdr:col>
      <xdr:colOff>85725</xdr:colOff>
      <xdr:row>26</xdr:row>
      <xdr:rowOff>9525</xdr:rowOff>
    </xdr:from>
    <xdr:to>
      <xdr:col>16</xdr:col>
      <xdr:colOff>9525</xdr:colOff>
      <xdr:row>54</xdr:row>
      <xdr:rowOff>152400</xdr:rowOff>
    </xdr:to>
    <xdr:cxnSp macro="">
      <xdr:nvCxnSpPr>
        <xdr:cNvPr id="3" name="Conexão Curva 2">
          <a:extLst>
            <a:ext uri="{FF2B5EF4-FFF2-40B4-BE49-F238E27FC236}">
              <a16:creationId xmlns:a16="http://schemas.microsoft.com/office/drawing/2014/main" id="{522CFABD-C810-853B-9269-059C03F46A65}"/>
            </a:ext>
            <a:ext uri="{147F2762-F138-4A5C-976F-8EAC2B608ADB}">
              <a16:predDERef xmlns:a16="http://schemas.microsoft.com/office/drawing/2014/main" pred="{22F3C3EA-A0E7-4D8E-8F30-AB2275B1EA60}"/>
            </a:ext>
          </a:extLst>
        </xdr:cNvPr>
        <xdr:cNvCxnSpPr>
          <a:cxnSpLocks/>
        </xdr:cNvCxnSpPr>
      </xdr:nvCxnSpPr>
      <xdr:spPr>
        <a:xfrm flipV="1">
          <a:off x="11296650" y="5953125"/>
          <a:ext cx="1381125" cy="5867400"/>
        </a:xfrm>
        <a:prstGeom prst="curvedConnector3">
          <a:avLst/>
        </a:prstGeom>
        <a:ln>
          <a:head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2057400</xdr:colOff>
      <xdr:row>37</xdr:row>
      <xdr:rowOff>0</xdr:rowOff>
    </xdr:from>
    <xdr:to>
      <xdr:col>22</xdr:col>
      <xdr:colOff>38100</xdr:colOff>
      <xdr:row>44</xdr:row>
      <xdr:rowOff>152400</xdr:rowOff>
    </xdr:to>
    <xdr:cxnSp macro="">
      <xdr:nvCxnSpPr>
        <xdr:cNvPr id="27" name="Conexão Reta 3">
          <a:extLst>
            <a:ext uri="{FF2B5EF4-FFF2-40B4-BE49-F238E27FC236}">
              <a16:creationId xmlns:a16="http://schemas.microsoft.com/office/drawing/2014/main" id="{8B565A33-2884-D110-B5A3-70437E9579CF}"/>
            </a:ext>
            <a:ext uri="{147F2762-F138-4A5C-976F-8EAC2B608ADB}">
              <a16:predDERef xmlns:a16="http://schemas.microsoft.com/office/drawing/2014/main" pred="{522CFABD-C810-853B-9269-059C03F46A65}"/>
            </a:ext>
          </a:extLst>
        </xdr:cNvPr>
        <xdr:cNvCxnSpPr>
          <a:cxnSpLocks/>
        </xdr:cNvCxnSpPr>
      </xdr:nvCxnSpPr>
      <xdr:spPr>
        <a:xfrm>
          <a:off x="14725650" y="8191500"/>
          <a:ext cx="4991100" cy="17240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32</xdr:col>
      <xdr:colOff>323850</xdr:colOff>
      <xdr:row>20</xdr:row>
      <xdr:rowOff>209550</xdr:rowOff>
    </xdr:from>
    <xdr:to>
      <xdr:col>35</xdr:col>
      <xdr:colOff>619125</xdr:colOff>
      <xdr:row>22</xdr:row>
      <xdr:rowOff>0</xdr:rowOff>
    </xdr:to>
    <xdr:pic>
      <xdr:nvPicPr>
        <xdr:cNvPr id="8" name="Imagem 3">
          <a:extLst>
            <a:ext uri="{FF2B5EF4-FFF2-40B4-BE49-F238E27FC236}">
              <a16:creationId xmlns:a16="http://schemas.microsoft.com/office/drawing/2014/main" id="{8C8E6DE9-AF56-F60D-CB19-3BA078EC8E6C}"/>
            </a:ext>
            <a:ext uri="{147F2762-F138-4A5C-976F-8EAC2B608ADB}">
              <a16:predDERef xmlns:a16="http://schemas.microsoft.com/office/drawing/2014/main" pred="{8B565A33-2884-D110-B5A3-70437E9579CF}"/>
            </a:ext>
          </a:extLst>
        </xdr:cNvPr>
        <xdr:cNvPicPr>
          <a:picLocks noChangeAspect="1"/>
        </xdr:cNvPicPr>
      </xdr:nvPicPr>
      <xdr:blipFill>
        <a:blip xmlns:r="http://schemas.openxmlformats.org/officeDocument/2006/relationships" r:embed="rId7"/>
        <a:stretch>
          <a:fillRect/>
        </a:stretch>
      </xdr:blipFill>
      <xdr:spPr>
        <a:xfrm>
          <a:off x="33337500" y="4552950"/>
          <a:ext cx="2124075" cy="1190625"/>
        </a:xfrm>
        <a:prstGeom prst="rect">
          <a:avLst/>
        </a:prstGeom>
      </xdr:spPr>
    </xdr:pic>
    <xdr:clientData/>
  </xdr:twoCellAnchor>
  <xdr:twoCellAnchor>
    <xdr:from>
      <xdr:col>31</xdr:col>
      <xdr:colOff>1819275</xdr:colOff>
      <xdr:row>21</xdr:row>
      <xdr:rowOff>314325</xdr:rowOff>
    </xdr:from>
    <xdr:to>
      <xdr:col>34</xdr:col>
      <xdr:colOff>552450</xdr:colOff>
      <xdr:row>25</xdr:row>
      <xdr:rowOff>123825</xdr:rowOff>
    </xdr:to>
    <xdr:cxnSp macro="">
      <xdr:nvCxnSpPr>
        <xdr:cNvPr id="5" name="Conexão Reta 4">
          <a:extLst>
            <a:ext uri="{FF2B5EF4-FFF2-40B4-BE49-F238E27FC236}">
              <a16:creationId xmlns:a16="http://schemas.microsoft.com/office/drawing/2014/main" id="{4F469196-DBC6-4209-A95C-8AF26C8224CE}"/>
            </a:ext>
            <a:ext uri="{147F2762-F138-4A5C-976F-8EAC2B608ADB}">
              <a16:predDERef xmlns:a16="http://schemas.microsoft.com/office/drawing/2014/main" pred="{8C8E6DE9-AF56-F60D-CB19-3BA078EC8E6C}"/>
            </a:ext>
          </a:extLst>
        </xdr:cNvPr>
        <xdr:cNvCxnSpPr>
          <a:cxnSpLocks/>
        </xdr:cNvCxnSpPr>
      </xdr:nvCxnSpPr>
      <xdr:spPr>
        <a:xfrm>
          <a:off x="28136850" y="9915525"/>
          <a:ext cx="1933575" cy="14573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15</xdr:col>
      <xdr:colOff>828675</xdr:colOff>
      <xdr:row>3</xdr:row>
      <xdr:rowOff>28575</xdr:rowOff>
    </xdr:from>
    <xdr:to>
      <xdr:col>19</xdr:col>
      <xdr:colOff>466725</xdr:colOff>
      <xdr:row>24</xdr:row>
      <xdr:rowOff>28575</xdr:rowOff>
    </xdr:to>
    <xdr:pic>
      <xdr:nvPicPr>
        <xdr:cNvPr id="26" name="Imagem 1">
          <a:extLst>
            <a:ext uri="{FF2B5EF4-FFF2-40B4-BE49-F238E27FC236}">
              <a16:creationId xmlns:a16="http://schemas.microsoft.com/office/drawing/2014/main" id="{78B2DFCB-3CFA-3564-53D9-D21B8CF14CBF}"/>
            </a:ext>
          </a:extLst>
        </xdr:cNvPr>
        <xdr:cNvPicPr>
          <a:picLocks noChangeAspect="1"/>
        </xdr:cNvPicPr>
      </xdr:nvPicPr>
      <xdr:blipFill>
        <a:blip xmlns:r="http://schemas.openxmlformats.org/officeDocument/2006/relationships" r:embed="rId1"/>
        <a:stretch>
          <a:fillRect/>
        </a:stretch>
      </xdr:blipFill>
      <xdr:spPr>
        <a:xfrm>
          <a:off x="9972675" y="600075"/>
          <a:ext cx="3619500" cy="4000500"/>
        </a:xfrm>
        <a:prstGeom prst="rect">
          <a:avLst/>
        </a:prstGeom>
      </xdr:spPr>
    </xdr:pic>
    <xdr:clientData/>
  </xdr:twoCellAnchor>
  <xdr:twoCellAnchor editAs="oneCell">
    <xdr:from>
      <xdr:col>19</xdr:col>
      <xdr:colOff>685800</xdr:colOff>
      <xdr:row>7</xdr:row>
      <xdr:rowOff>0</xdr:rowOff>
    </xdr:from>
    <xdr:to>
      <xdr:col>27</xdr:col>
      <xdr:colOff>295275</xdr:colOff>
      <xdr:row>24</xdr:row>
      <xdr:rowOff>180975</xdr:rowOff>
    </xdr:to>
    <xdr:pic>
      <xdr:nvPicPr>
        <xdr:cNvPr id="2" name="Imagem 2">
          <a:extLst>
            <a:ext uri="{FF2B5EF4-FFF2-40B4-BE49-F238E27FC236}">
              <a16:creationId xmlns:a16="http://schemas.microsoft.com/office/drawing/2014/main" id="{26575F91-6D96-1BA1-E6A1-C89DE0C41161}"/>
            </a:ext>
            <a:ext uri="{147F2762-F138-4A5C-976F-8EAC2B608ADB}">
              <a16:predDERef xmlns:a16="http://schemas.microsoft.com/office/drawing/2014/main" pred="{78B2DFCB-3CFA-3564-53D9-D21B8CF14CBF}"/>
            </a:ext>
          </a:extLst>
        </xdr:cNvPr>
        <xdr:cNvPicPr>
          <a:picLocks noChangeAspect="1"/>
        </xdr:cNvPicPr>
      </xdr:nvPicPr>
      <xdr:blipFill>
        <a:blip xmlns:r="http://schemas.openxmlformats.org/officeDocument/2006/relationships" r:embed="rId2"/>
        <a:stretch>
          <a:fillRect/>
        </a:stretch>
      </xdr:blipFill>
      <xdr:spPr>
        <a:xfrm>
          <a:off x="13811250" y="1333500"/>
          <a:ext cx="4572000" cy="3419475"/>
        </a:xfrm>
        <a:prstGeom prst="rect">
          <a:avLst/>
        </a:prstGeom>
      </xdr:spPr>
    </xdr:pic>
    <xdr:clientData/>
  </xdr:twoCellAnchor>
  <xdr:twoCellAnchor editAs="oneCell">
    <xdr:from>
      <xdr:col>1</xdr:col>
      <xdr:colOff>304800</xdr:colOff>
      <xdr:row>2</xdr:row>
      <xdr:rowOff>142875</xdr:rowOff>
    </xdr:from>
    <xdr:to>
      <xdr:col>8</xdr:col>
      <xdr:colOff>600075</xdr:colOff>
      <xdr:row>18</xdr:row>
      <xdr:rowOff>38100</xdr:rowOff>
    </xdr:to>
    <xdr:pic>
      <xdr:nvPicPr>
        <xdr:cNvPr id="4" name="Imagem 3">
          <a:extLst>
            <a:ext uri="{FF2B5EF4-FFF2-40B4-BE49-F238E27FC236}">
              <a16:creationId xmlns:a16="http://schemas.microsoft.com/office/drawing/2014/main" id="{2E337551-C7B8-D2C1-327A-DAD08EC1BEA0}"/>
            </a:ext>
            <a:ext uri="{147F2762-F138-4A5C-976F-8EAC2B608ADB}">
              <a16:predDERef xmlns:a16="http://schemas.microsoft.com/office/drawing/2014/main" pred="{26575F91-6D96-1BA1-E6A1-C89DE0C41161}"/>
            </a:ext>
          </a:extLst>
        </xdr:cNvPr>
        <xdr:cNvPicPr>
          <a:picLocks noChangeAspect="1"/>
        </xdr:cNvPicPr>
      </xdr:nvPicPr>
      <xdr:blipFill>
        <a:blip xmlns:r="http://schemas.openxmlformats.org/officeDocument/2006/relationships" r:embed="rId3"/>
        <a:stretch>
          <a:fillRect/>
        </a:stretch>
      </xdr:blipFill>
      <xdr:spPr>
        <a:xfrm>
          <a:off x="914400" y="523875"/>
          <a:ext cx="4562475" cy="2943225"/>
        </a:xfrm>
        <a:prstGeom prst="rect">
          <a:avLst/>
        </a:prstGeom>
      </xdr:spPr>
    </xdr:pic>
    <xdr:clientData/>
  </xdr:twoCellAnchor>
  <xdr:twoCellAnchor editAs="oneCell">
    <xdr:from>
      <xdr:col>1</xdr:col>
      <xdr:colOff>323850</xdr:colOff>
      <xdr:row>17</xdr:row>
      <xdr:rowOff>152400</xdr:rowOff>
    </xdr:from>
    <xdr:to>
      <xdr:col>8</xdr:col>
      <xdr:colOff>571500</xdr:colOff>
      <xdr:row>34</xdr:row>
      <xdr:rowOff>142875</xdr:rowOff>
    </xdr:to>
    <xdr:pic>
      <xdr:nvPicPr>
        <xdr:cNvPr id="5" name="Imagem 4">
          <a:extLst>
            <a:ext uri="{FF2B5EF4-FFF2-40B4-BE49-F238E27FC236}">
              <a16:creationId xmlns:a16="http://schemas.microsoft.com/office/drawing/2014/main" id="{9334D05A-2367-F1B9-8834-B0E0183CA26F}"/>
            </a:ext>
            <a:ext uri="{147F2762-F138-4A5C-976F-8EAC2B608ADB}">
              <a16:predDERef xmlns:a16="http://schemas.microsoft.com/office/drawing/2014/main" pred="{2E337551-C7B8-D2C1-327A-DAD08EC1BEA0}"/>
            </a:ext>
          </a:extLst>
        </xdr:cNvPr>
        <xdr:cNvPicPr>
          <a:picLocks noChangeAspect="1"/>
        </xdr:cNvPicPr>
      </xdr:nvPicPr>
      <xdr:blipFill>
        <a:blip xmlns:r="http://schemas.openxmlformats.org/officeDocument/2006/relationships" r:embed="rId4"/>
        <a:stretch>
          <a:fillRect/>
        </a:stretch>
      </xdr:blipFill>
      <xdr:spPr>
        <a:xfrm>
          <a:off x="933450" y="3390900"/>
          <a:ext cx="4514850" cy="3228975"/>
        </a:xfrm>
        <a:prstGeom prst="rect">
          <a:avLst/>
        </a:prstGeom>
      </xdr:spPr>
    </xdr:pic>
    <xdr:clientData/>
  </xdr:twoCellAnchor>
  <xdr:twoCellAnchor editAs="oneCell">
    <xdr:from>
      <xdr:col>1</xdr:col>
      <xdr:colOff>304800</xdr:colOff>
      <xdr:row>34</xdr:row>
      <xdr:rowOff>152400</xdr:rowOff>
    </xdr:from>
    <xdr:to>
      <xdr:col>8</xdr:col>
      <xdr:colOff>381000</xdr:colOff>
      <xdr:row>54</xdr:row>
      <xdr:rowOff>85725</xdr:rowOff>
    </xdr:to>
    <xdr:pic>
      <xdr:nvPicPr>
        <xdr:cNvPr id="6" name="Imagem 5">
          <a:extLst>
            <a:ext uri="{FF2B5EF4-FFF2-40B4-BE49-F238E27FC236}">
              <a16:creationId xmlns:a16="http://schemas.microsoft.com/office/drawing/2014/main" id="{4C13CD92-B701-3C18-6894-123B3C8C6EA4}"/>
            </a:ext>
            <a:ext uri="{147F2762-F138-4A5C-976F-8EAC2B608ADB}">
              <a16:predDERef xmlns:a16="http://schemas.microsoft.com/office/drawing/2014/main" pred="{9334D05A-2367-F1B9-8834-B0E0183CA26F}"/>
            </a:ext>
          </a:extLst>
        </xdr:cNvPr>
        <xdr:cNvPicPr>
          <a:picLocks noChangeAspect="1"/>
        </xdr:cNvPicPr>
      </xdr:nvPicPr>
      <xdr:blipFill>
        <a:blip xmlns:r="http://schemas.openxmlformats.org/officeDocument/2006/relationships" r:embed="rId5"/>
        <a:stretch>
          <a:fillRect/>
        </a:stretch>
      </xdr:blipFill>
      <xdr:spPr>
        <a:xfrm>
          <a:off x="914400" y="6629400"/>
          <a:ext cx="4343400" cy="3743325"/>
        </a:xfrm>
        <a:prstGeom prst="rect">
          <a:avLst/>
        </a:prstGeom>
      </xdr:spPr>
    </xdr:pic>
    <xdr:clientData/>
  </xdr:twoCellAnchor>
  <xdr:twoCellAnchor editAs="oneCell">
    <xdr:from>
      <xdr:col>1</xdr:col>
      <xdr:colOff>447675</xdr:colOff>
      <xdr:row>54</xdr:row>
      <xdr:rowOff>180975</xdr:rowOff>
    </xdr:from>
    <xdr:to>
      <xdr:col>8</xdr:col>
      <xdr:colOff>390525</xdr:colOff>
      <xdr:row>80</xdr:row>
      <xdr:rowOff>38100</xdr:rowOff>
    </xdr:to>
    <xdr:pic>
      <xdr:nvPicPr>
        <xdr:cNvPr id="7" name="Imagem 6">
          <a:extLst>
            <a:ext uri="{FF2B5EF4-FFF2-40B4-BE49-F238E27FC236}">
              <a16:creationId xmlns:a16="http://schemas.microsoft.com/office/drawing/2014/main" id="{451242E2-0CA2-94B3-1619-67DA6FE5C829}"/>
            </a:ext>
            <a:ext uri="{147F2762-F138-4A5C-976F-8EAC2B608ADB}">
              <a16:predDERef xmlns:a16="http://schemas.microsoft.com/office/drawing/2014/main" pred="{4C13CD92-B701-3C18-6894-123B3C8C6EA4}"/>
            </a:ext>
          </a:extLst>
        </xdr:cNvPr>
        <xdr:cNvPicPr>
          <a:picLocks noChangeAspect="1"/>
        </xdr:cNvPicPr>
      </xdr:nvPicPr>
      <xdr:blipFill>
        <a:blip xmlns:r="http://schemas.openxmlformats.org/officeDocument/2006/relationships" r:embed="rId6"/>
        <a:stretch>
          <a:fillRect/>
        </a:stretch>
      </xdr:blipFill>
      <xdr:spPr>
        <a:xfrm>
          <a:off x="1057275" y="10467975"/>
          <a:ext cx="4210050" cy="4810125"/>
        </a:xfrm>
        <a:prstGeom prst="rect">
          <a:avLst/>
        </a:prstGeom>
      </xdr:spPr>
    </xdr:pic>
    <xdr:clientData/>
  </xdr:twoCellAnchor>
  <xdr:twoCellAnchor editAs="oneCell">
    <xdr:from>
      <xdr:col>2</xdr:col>
      <xdr:colOff>0</xdr:colOff>
      <xdr:row>80</xdr:row>
      <xdr:rowOff>180975</xdr:rowOff>
    </xdr:from>
    <xdr:to>
      <xdr:col>8</xdr:col>
      <xdr:colOff>228600</xdr:colOff>
      <xdr:row>98</xdr:row>
      <xdr:rowOff>123825</xdr:rowOff>
    </xdr:to>
    <xdr:pic>
      <xdr:nvPicPr>
        <xdr:cNvPr id="8" name="Imagem 7">
          <a:extLst>
            <a:ext uri="{FF2B5EF4-FFF2-40B4-BE49-F238E27FC236}">
              <a16:creationId xmlns:a16="http://schemas.microsoft.com/office/drawing/2014/main" id="{6CAAEDEC-3285-E8DE-30FD-958B320CC47D}"/>
            </a:ext>
            <a:ext uri="{147F2762-F138-4A5C-976F-8EAC2B608ADB}">
              <a16:predDERef xmlns:a16="http://schemas.microsoft.com/office/drawing/2014/main" pred="{451242E2-0CA2-94B3-1619-67DA6FE5C829}"/>
            </a:ext>
          </a:extLst>
        </xdr:cNvPr>
        <xdr:cNvPicPr>
          <a:picLocks noChangeAspect="1"/>
        </xdr:cNvPicPr>
      </xdr:nvPicPr>
      <xdr:blipFill>
        <a:blip xmlns:r="http://schemas.openxmlformats.org/officeDocument/2006/relationships" r:embed="rId7"/>
        <a:stretch>
          <a:fillRect/>
        </a:stretch>
      </xdr:blipFill>
      <xdr:spPr>
        <a:xfrm>
          <a:off x="1219200" y="15420975"/>
          <a:ext cx="3886200" cy="3371850"/>
        </a:xfrm>
        <a:prstGeom prst="rect">
          <a:avLst/>
        </a:prstGeom>
      </xdr:spPr>
    </xdr:pic>
    <xdr:clientData/>
  </xdr:twoCellAnchor>
  <xdr:twoCellAnchor editAs="oneCell">
    <xdr:from>
      <xdr:col>2</xdr:col>
      <xdr:colOff>0</xdr:colOff>
      <xdr:row>100</xdr:row>
      <xdr:rowOff>0</xdr:rowOff>
    </xdr:from>
    <xdr:to>
      <xdr:col>9</xdr:col>
      <xdr:colOff>304800</xdr:colOff>
      <xdr:row>110</xdr:row>
      <xdr:rowOff>123825</xdr:rowOff>
    </xdr:to>
    <xdr:pic>
      <xdr:nvPicPr>
        <xdr:cNvPr id="9" name="Imagem 8">
          <a:extLst>
            <a:ext uri="{FF2B5EF4-FFF2-40B4-BE49-F238E27FC236}">
              <a16:creationId xmlns:a16="http://schemas.microsoft.com/office/drawing/2014/main" id="{E57DE0EA-7F3B-37F2-E646-F3FDC92A17F7}"/>
            </a:ext>
            <a:ext uri="{147F2762-F138-4A5C-976F-8EAC2B608ADB}">
              <a16:predDERef xmlns:a16="http://schemas.microsoft.com/office/drawing/2014/main" pred="{6CAAEDEC-3285-E8DE-30FD-958B320CC47D}"/>
            </a:ext>
          </a:extLst>
        </xdr:cNvPr>
        <xdr:cNvPicPr>
          <a:picLocks noChangeAspect="1"/>
        </xdr:cNvPicPr>
      </xdr:nvPicPr>
      <xdr:blipFill>
        <a:blip xmlns:r="http://schemas.openxmlformats.org/officeDocument/2006/relationships" r:embed="rId8"/>
        <a:stretch>
          <a:fillRect/>
        </a:stretch>
      </xdr:blipFill>
      <xdr:spPr>
        <a:xfrm>
          <a:off x="1219200" y="19050000"/>
          <a:ext cx="4572000" cy="2028825"/>
        </a:xfrm>
        <a:prstGeom prst="rect">
          <a:avLst/>
        </a:prstGeom>
      </xdr:spPr>
    </xdr:pic>
    <xdr:clientData/>
  </xdr:twoCellAnchor>
  <xdr:twoCellAnchor editAs="oneCell">
    <xdr:from>
      <xdr:col>1</xdr:col>
      <xdr:colOff>447675</xdr:colOff>
      <xdr:row>113</xdr:row>
      <xdr:rowOff>0</xdr:rowOff>
    </xdr:from>
    <xdr:to>
      <xdr:col>9</xdr:col>
      <xdr:colOff>142875</xdr:colOff>
      <xdr:row>119</xdr:row>
      <xdr:rowOff>9525</xdr:rowOff>
    </xdr:to>
    <xdr:pic>
      <xdr:nvPicPr>
        <xdr:cNvPr id="17" name="Imagem 9">
          <a:extLst>
            <a:ext uri="{FF2B5EF4-FFF2-40B4-BE49-F238E27FC236}">
              <a16:creationId xmlns:a16="http://schemas.microsoft.com/office/drawing/2014/main" id="{7BF86F0D-46A2-8EFC-5D52-80A56600057C}"/>
            </a:ext>
            <a:ext uri="{147F2762-F138-4A5C-976F-8EAC2B608ADB}">
              <a16:predDERef xmlns:a16="http://schemas.microsoft.com/office/drawing/2014/main" pred="{E57DE0EA-7F3B-37F2-E646-F3FDC92A17F7}"/>
            </a:ext>
          </a:extLst>
        </xdr:cNvPr>
        <xdr:cNvPicPr>
          <a:picLocks noChangeAspect="1"/>
        </xdr:cNvPicPr>
      </xdr:nvPicPr>
      <xdr:blipFill>
        <a:blip xmlns:r="http://schemas.openxmlformats.org/officeDocument/2006/relationships" r:embed="rId9"/>
        <a:stretch>
          <a:fillRect/>
        </a:stretch>
      </xdr:blipFill>
      <xdr:spPr>
        <a:xfrm>
          <a:off x="1057275" y="21526500"/>
          <a:ext cx="4572000" cy="1152525"/>
        </a:xfrm>
        <a:prstGeom prst="rect">
          <a:avLst/>
        </a:prstGeom>
      </xdr:spPr>
    </xdr:pic>
    <xdr:clientData/>
  </xdr:twoCellAnchor>
  <xdr:twoCellAnchor editAs="oneCell">
    <xdr:from>
      <xdr:col>1</xdr:col>
      <xdr:colOff>590550</xdr:colOff>
      <xdr:row>119</xdr:row>
      <xdr:rowOff>66675</xdr:rowOff>
    </xdr:from>
    <xdr:to>
      <xdr:col>9</xdr:col>
      <xdr:colOff>123825</xdr:colOff>
      <xdr:row>137</xdr:row>
      <xdr:rowOff>0</xdr:rowOff>
    </xdr:to>
    <xdr:pic>
      <xdr:nvPicPr>
        <xdr:cNvPr id="16" name="Imagem 11">
          <a:extLst>
            <a:ext uri="{FF2B5EF4-FFF2-40B4-BE49-F238E27FC236}">
              <a16:creationId xmlns:a16="http://schemas.microsoft.com/office/drawing/2014/main" id="{C354536E-D5FE-3DA0-F41D-AFCA383B6AD0}"/>
            </a:ext>
            <a:ext uri="{147F2762-F138-4A5C-976F-8EAC2B608ADB}">
              <a16:predDERef xmlns:a16="http://schemas.microsoft.com/office/drawing/2014/main" pred="{7BF86F0D-46A2-8EFC-5D52-80A56600057C}"/>
            </a:ext>
          </a:extLst>
        </xdr:cNvPr>
        <xdr:cNvPicPr>
          <a:picLocks noChangeAspect="1"/>
        </xdr:cNvPicPr>
      </xdr:nvPicPr>
      <xdr:blipFill>
        <a:blip xmlns:r="http://schemas.openxmlformats.org/officeDocument/2006/relationships" r:embed="rId10"/>
        <a:stretch>
          <a:fillRect/>
        </a:stretch>
      </xdr:blipFill>
      <xdr:spPr>
        <a:xfrm>
          <a:off x="1200150" y="22736175"/>
          <a:ext cx="4410075" cy="3362325"/>
        </a:xfrm>
        <a:prstGeom prst="rect">
          <a:avLst/>
        </a:prstGeom>
      </xdr:spPr>
    </xdr:pic>
    <xdr:clientData/>
  </xdr:twoCellAnchor>
  <xdr:twoCellAnchor editAs="oneCell">
    <xdr:from>
      <xdr:col>31</xdr:col>
      <xdr:colOff>0</xdr:colOff>
      <xdr:row>4</xdr:row>
      <xdr:rowOff>0</xdr:rowOff>
    </xdr:from>
    <xdr:to>
      <xdr:col>41</xdr:col>
      <xdr:colOff>133350</xdr:colOff>
      <xdr:row>21</xdr:row>
      <xdr:rowOff>28575</xdr:rowOff>
    </xdr:to>
    <xdr:pic>
      <xdr:nvPicPr>
        <xdr:cNvPr id="10" name="Imagem 9">
          <a:extLst>
            <a:ext uri="{FF2B5EF4-FFF2-40B4-BE49-F238E27FC236}">
              <a16:creationId xmlns:a16="http://schemas.microsoft.com/office/drawing/2014/main" id="{5024EAF4-DF05-9C82-DAB6-2E6769859F17}"/>
            </a:ext>
            <a:ext uri="{147F2762-F138-4A5C-976F-8EAC2B608ADB}">
              <a16:predDERef xmlns:a16="http://schemas.microsoft.com/office/drawing/2014/main" pred="{C354536E-D5FE-3DA0-F41D-AFCA383B6AD0}"/>
            </a:ext>
          </a:extLst>
        </xdr:cNvPr>
        <xdr:cNvPicPr>
          <a:picLocks noChangeAspect="1"/>
        </xdr:cNvPicPr>
      </xdr:nvPicPr>
      <xdr:blipFill>
        <a:blip xmlns:r="http://schemas.openxmlformats.org/officeDocument/2006/relationships" r:embed="rId11"/>
        <a:stretch>
          <a:fillRect/>
        </a:stretch>
      </xdr:blipFill>
      <xdr:spPr>
        <a:xfrm>
          <a:off x="20526375" y="762000"/>
          <a:ext cx="6229350" cy="3267075"/>
        </a:xfrm>
        <a:prstGeom prst="rect">
          <a:avLst/>
        </a:prstGeom>
      </xdr:spPr>
    </xdr:pic>
    <xdr:clientData/>
  </xdr:twoCellAnchor>
  <xdr:twoCellAnchor editAs="oneCell">
    <xdr:from>
      <xdr:col>31</xdr:col>
      <xdr:colOff>0</xdr:colOff>
      <xdr:row>22</xdr:row>
      <xdr:rowOff>19050</xdr:rowOff>
    </xdr:from>
    <xdr:to>
      <xdr:col>38</xdr:col>
      <xdr:colOff>304800</xdr:colOff>
      <xdr:row>41</xdr:row>
      <xdr:rowOff>142875</xdr:rowOff>
    </xdr:to>
    <xdr:pic>
      <xdr:nvPicPr>
        <xdr:cNvPr id="11" name="Imagem 10">
          <a:extLst>
            <a:ext uri="{FF2B5EF4-FFF2-40B4-BE49-F238E27FC236}">
              <a16:creationId xmlns:a16="http://schemas.microsoft.com/office/drawing/2014/main" id="{AF9DF912-333F-9360-35AC-C4B3D236FDA1}"/>
            </a:ext>
            <a:ext uri="{147F2762-F138-4A5C-976F-8EAC2B608ADB}">
              <a16:predDERef xmlns:a16="http://schemas.microsoft.com/office/drawing/2014/main" pred="{5024EAF4-DF05-9C82-DAB6-2E6769859F17}"/>
            </a:ext>
          </a:extLst>
        </xdr:cNvPr>
        <xdr:cNvPicPr>
          <a:picLocks noChangeAspect="1"/>
        </xdr:cNvPicPr>
      </xdr:nvPicPr>
      <xdr:blipFill>
        <a:blip xmlns:r="http://schemas.openxmlformats.org/officeDocument/2006/relationships" r:embed="rId12"/>
        <a:stretch>
          <a:fillRect/>
        </a:stretch>
      </xdr:blipFill>
      <xdr:spPr>
        <a:xfrm>
          <a:off x="20526375" y="4210050"/>
          <a:ext cx="4572000" cy="3743325"/>
        </a:xfrm>
        <a:prstGeom prst="rect">
          <a:avLst/>
        </a:prstGeom>
      </xdr:spPr>
    </xdr:pic>
    <xdr:clientData/>
  </xdr:twoCellAnchor>
  <xdr:twoCellAnchor editAs="oneCell">
    <xdr:from>
      <xdr:col>31</xdr:col>
      <xdr:colOff>9525</xdr:colOff>
      <xdr:row>43</xdr:row>
      <xdr:rowOff>9525</xdr:rowOff>
    </xdr:from>
    <xdr:to>
      <xdr:col>41</xdr:col>
      <xdr:colOff>352425</xdr:colOff>
      <xdr:row>74</xdr:row>
      <xdr:rowOff>9525</xdr:rowOff>
    </xdr:to>
    <xdr:pic>
      <xdr:nvPicPr>
        <xdr:cNvPr id="12" name="Imagem 11">
          <a:extLst>
            <a:ext uri="{FF2B5EF4-FFF2-40B4-BE49-F238E27FC236}">
              <a16:creationId xmlns:a16="http://schemas.microsoft.com/office/drawing/2014/main" id="{382FCCE1-9F0D-B369-E7F7-4723CB66137B}"/>
            </a:ext>
            <a:ext uri="{147F2762-F138-4A5C-976F-8EAC2B608ADB}">
              <a16:predDERef xmlns:a16="http://schemas.microsoft.com/office/drawing/2014/main" pred="{AF9DF912-333F-9360-35AC-C4B3D236FDA1}"/>
            </a:ext>
          </a:extLst>
        </xdr:cNvPr>
        <xdr:cNvPicPr>
          <a:picLocks noChangeAspect="1"/>
        </xdr:cNvPicPr>
      </xdr:nvPicPr>
      <xdr:blipFill>
        <a:blip xmlns:r="http://schemas.openxmlformats.org/officeDocument/2006/relationships" r:embed="rId13"/>
        <a:stretch>
          <a:fillRect/>
        </a:stretch>
      </xdr:blipFill>
      <xdr:spPr>
        <a:xfrm>
          <a:off x="20535900" y="8201025"/>
          <a:ext cx="6438900" cy="5905500"/>
        </a:xfrm>
        <a:prstGeom prst="rect">
          <a:avLst/>
        </a:prstGeom>
      </xdr:spPr>
    </xdr:pic>
    <xdr:clientData/>
  </xdr:twoCellAnchor>
  <xdr:twoCellAnchor editAs="oneCell">
    <xdr:from>
      <xdr:col>31</xdr:col>
      <xdr:colOff>428625</xdr:colOff>
      <xdr:row>75</xdr:row>
      <xdr:rowOff>180975</xdr:rowOff>
    </xdr:from>
    <xdr:to>
      <xdr:col>40</xdr:col>
      <xdr:colOff>542925</xdr:colOff>
      <xdr:row>120</xdr:row>
      <xdr:rowOff>142875</xdr:rowOff>
    </xdr:to>
    <xdr:pic>
      <xdr:nvPicPr>
        <xdr:cNvPr id="13" name="Imagem 12">
          <a:extLst>
            <a:ext uri="{FF2B5EF4-FFF2-40B4-BE49-F238E27FC236}">
              <a16:creationId xmlns:a16="http://schemas.microsoft.com/office/drawing/2014/main" id="{F1AE3C87-AD81-0B74-AC13-DE5B69F5EAB2}"/>
            </a:ext>
            <a:ext uri="{147F2762-F138-4A5C-976F-8EAC2B608ADB}">
              <a16:predDERef xmlns:a16="http://schemas.microsoft.com/office/drawing/2014/main" pred="{382FCCE1-9F0D-B369-E7F7-4723CB66137B}"/>
            </a:ext>
          </a:extLst>
        </xdr:cNvPr>
        <xdr:cNvPicPr>
          <a:picLocks noChangeAspect="1"/>
        </xdr:cNvPicPr>
      </xdr:nvPicPr>
      <xdr:blipFill>
        <a:blip xmlns:r="http://schemas.openxmlformats.org/officeDocument/2006/relationships" r:embed="rId14"/>
        <a:stretch>
          <a:fillRect/>
        </a:stretch>
      </xdr:blipFill>
      <xdr:spPr>
        <a:xfrm>
          <a:off x="20955000" y="14468475"/>
          <a:ext cx="5600700" cy="8534400"/>
        </a:xfrm>
        <a:prstGeom prst="rect">
          <a:avLst/>
        </a:prstGeom>
      </xdr:spPr>
    </xdr:pic>
    <xdr:clientData/>
  </xdr:twoCellAnchor>
  <xdr:twoCellAnchor editAs="oneCell">
    <xdr:from>
      <xdr:col>32</xdr:col>
      <xdr:colOff>600075</xdr:colOff>
      <xdr:row>120</xdr:row>
      <xdr:rowOff>161925</xdr:rowOff>
    </xdr:from>
    <xdr:to>
      <xdr:col>39</xdr:col>
      <xdr:colOff>485775</xdr:colOff>
      <xdr:row>129</xdr:row>
      <xdr:rowOff>76200</xdr:rowOff>
    </xdr:to>
    <xdr:pic>
      <xdr:nvPicPr>
        <xdr:cNvPr id="14" name="Imagem 13">
          <a:extLst>
            <a:ext uri="{FF2B5EF4-FFF2-40B4-BE49-F238E27FC236}">
              <a16:creationId xmlns:a16="http://schemas.microsoft.com/office/drawing/2014/main" id="{6621F3D0-C42A-AD6C-1C0E-46511C4AB5E9}"/>
            </a:ext>
            <a:ext uri="{147F2762-F138-4A5C-976F-8EAC2B608ADB}">
              <a16:predDERef xmlns:a16="http://schemas.microsoft.com/office/drawing/2014/main" pred="{F1AE3C87-AD81-0B74-AC13-DE5B69F5EAB2}"/>
            </a:ext>
          </a:extLst>
        </xdr:cNvPr>
        <xdr:cNvPicPr>
          <a:picLocks noChangeAspect="1"/>
        </xdr:cNvPicPr>
      </xdr:nvPicPr>
      <xdr:blipFill>
        <a:blip xmlns:r="http://schemas.openxmlformats.org/officeDocument/2006/relationships" r:embed="rId15"/>
        <a:stretch>
          <a:fillRect/>
        </a:stretch>
      </xdr:blipFill>
      <xdr:spPr>
        <a:xfrm>
          <a:off x="21736050" y="23021925"/>
          <a:ext cx="4152900" cy="1628775"/>
        </a:xfrm>
        <a:prstGeom prst="rect">
          <a:avLst/>
        </a:prstGeom>
      </xdr:spPr>
    </xdr:pic>
    <xdr:clientData/>
  </xdr:twoCellAnchor>
  <xdr:twoCellAnchor editAs="oneCell">
    <xdr:from>
      <xdr:col>33</xdr:col>
      <xdr:colOff>9525</xdr:colOff>
      <xdr:row>130</xdr:row>
      <xdr:rowOff>9525</xdr:rowOff>
    </xdr:from>
    <xdr:to>
      <xdr:col>39</xdr:col>
      <xdr:colOff>533400</xdr:colOff>
      <xdr:row>148</xdr:row>
      <xdr:rowOff>19050</xdr:rowOff>
    </xdr:to>
    <xdr:pic>
      <xdr:nvPicPr>
        <xdr:cNvPr id="15" name="Imagem 14">
          <a:extLst>
            <a:ext uri="{FF2B5EF4-FFF2-40B4-BE49-F238E27FC236}">
              <a16:creationId xmlns:a16="http://schemas.microsoft.com/office/drawing/2014/main" id="{07B38319-6C7E-EF6F-9E87-77F4323B0500}"/>
            </a:ext>
            <a:ext uri="{147F2762-F138-4A5C-976F-8EAC2B608ADB}">
              <a16:predDERef xmlns:a16="http://schemas.microsoft.com/office/drawing/2014/main" pred="{6621F3D0-C42A-AD6C-1C0E-46511C4AB5E9}"/>
            </a:ext>
          </a:extLst>
        </xdr:cNvPr>
        <xdr:cNvPicPr>
          <a:picLocks noChangeAspect="1"/>
        </xdr:cNvPicPr>
      </xdr:nvPicPr>
      <xdr:blipFill>
        <a:blip xmlns:r="http://schemas.openxmlformats.org/officeDocument/2006/relationships" r:embed="rId16"/>
        <a:stretch>
          <a:fillRect/>
        </a:stretch>
      </xdr:blipFill>
      <xdr:spPr>
        <a:xfrm>
          <a:off x="21755100" y="24774525"/>
          <a:ext cx="4181475" cy="3438525"/>
        </a:xfrm>
        <a:prstGeom prst="rect">
          <a:avLst/>
        </a:prstGeom>
      </xdr:spPr>
    </xdr:pic>
    <xdr:clientData/>
  </xdr:twoCellAnchor>
  <xdr:twoCellAnchor editAs="oneCell">
    <xdr:from>
      <xdr:col>30</xdr:col>
      <xdr:colOff>200025</xdr:colOff>
      <xdr:row>152</xdr:row>
      <xdr:rowOff>180975</xdr:rowOff>
    </xdr:from>
    <xdr:to>
      <xdr:col>41</xdr:col>
      <xdr:colOff>352425</xdr:colOff>
      <xdr:row>154</xdr:row>
      <xdr:rowOff>0</xdr:rowOff>
    </xdr:to>
    <xdr:pic>
      <xdr:nvPicPr>
        <xdr:cNvPr id="18" name="Imagem 17">
          <a:extLst>
            <a:ext uri="{FF2B5EF4-FFF2-40B4-BE49-F238E27FC236}">
              <a16:creationId xmlns:a16="http://schemas.microsoft.com/office/drawing/2014/main" id="{5518D826-F8FE-76B5-7E03-F17A6C47887C}"/>
            </a:ext>
            <a:ext uri="{147F2762-F138-4A5C-976F-8EAC2B608ADB}">
              <a16:predDERef xmlns:a16="http://schemas.microsoft.com/office/drawing/2014/main" pred="{07B38319-6C7E-EF6F-9E87-77F4323B0500}"/>
            </a:ext>
          </a:extLst>
        </xdr:cNvPr>
        <xdr:cNvPicPr>
          <a:picLocks noChangeAspect="1"/>
        </xdr:cNvPicPr>
      </xdr:nvPicPr>
      <xdr:blipFill>
        <a:blip xmlns:r="http://schemas.openxmlformats.org/officeDocument/2006/relationships" r:embed="rId17"/>
        <a:stretch>
          <a:fillRect/>
        </a:stretch>
      </xdr:blipFill>
      <xdr:spPr>
        <a:xfrm>
          <a:off x="20116800" y="29136975"/>
          <a:ext cx="6858000" cy="200025"/>
        </a:xfrm>
        <a:prstGeom prst="rect">
          <a:avLst/>
        </a:prstGeom>
      </xdr:spPr>
    </xdr:pic>
    <xdr:clientData/>
  </xdr:twoCellAnchor>
  <xdr:twoCellAnchor editAs="oneCell">
    <xdr:from>
      <xdr:col>30</xdr:col>
      <xdr:colOff>466725</xdr:colOff>
      <xdr:row>154</xdr:row>
      <xdr:rowOff>19050</xdr:rowOff>
    </xdr:from>
    <xdr:to>
      <xdr:col>41</xdr:col>
      <xdr:colOff>352425</xdr:colOff>
      <xdr:row>179</xdr:row>
      <xdr:rowOff>57150</xdr:rowOff>
    </xdr:to>
    <xdr:pic>
      <xdr:nvPicPr>
        <xdr:cNvPr id="19" name="Imagem 18">
          <a:extLst>
            <a:ext uri="{FF2B5EF4-FFF2-40B4-BE49-F238E27FC236}">
              <a16:creationId xmlns:a16="http://schemas.microsoft.com/office/drawing/2014/main" id="{C810C3C0-B56C-E0F3-BADE-DB6AFFA6B193}"/>
            </a:ext>
            <a:ext uri="{147F2762-F138-4A5C-976F-8EAC2B608ADB}">
              <a16:predDERef xmlns:a16="http://schemas.microsoft.com/office/drawing/2014/main" pred="{5518D826-F8FE-76B5-7E03-F17A6C47887C}"/>
            </a:ext>
          </a:extLst>
        </xdr:cNvPr>
        <xdr:cNvPicPr>
          <a:picLocks noChangeAspect="1"/>
        </xdr:cNvPicPr>
      </xdr:nvPicPr>
      <xdr:blipFill>
        <a:blip xmlns:r="http://schemas.openxmlformats.org/officeDocument/2006/relationships" r:embed="rId18"/>
        <a:stretch>
          <a:fillRect/>
        </a:stretch>
      </xdr:blipFill>
      <xdr:spPr>
        <a:xfrm>
          <a:off x="20383500" y="29356050"/>
          <a:ext cx="6591300" cy="4800600"/>
        </a:xfrm>
        <a:prstGeom prst="rect">
          <a:avLst/>
        </a:prstGeom>
      </xdr:spPr>
    </xdr:pic>
    <xdr:clientData/>
  </xdr:twoCellAnchor>
  <xdr:twoCellAnchor editAs="oneCell">
    <xdr:from>
      <xdr:col>32</xdr:col>
      <xdr:colOff>247650</xdr:colOff>
      <xdr:row>180</xdr:row>
      <xdr:rowOff>171450</xdr:rowOff>
    </xdr:from>
    <xdr:to>
      <xdr:col>39</xdr:col>
      <xdr:colOff>542925</xdr:colOff>
      <xdr:row>201</xdr:row>
      <xdr:rowOff>19050</xdr:rowOff>
    </xdr:to>
    <xdr:pic>
      <xdr:nvPicPr>
        <xdr:cNvPr id="20" name="Imagem 19">
          <a:extLst>
            <a:ext uri="{FF2B5EF4-FFF2-40B4-BE49-F238E27FC236}">
              <a16:creationId xmlns:a16="http://schemas.microsoft.com/office/drawing/2014/main" id="{FA343F53-9A92-FD1A-B112-9C4EDB9B1154}"/>
            </a:ext>
            <a:ext uri="{147F2762-F138-4A5C-976F-8EAC2B608ADB}">
              <a16:predDERef xmlns:a16="http://schemas.microsoft.com/office/drawing/2014/main" pred="{C810C3C0-B56C-E0F3-BADE-DB6AFFA6B193}"/>
            </a:ext>
          </a:extLst>
        </xdr:cNvPr>
        <xdr:cNvPicPr>
          <a:picLocks noChangeAspect="1"/>
        </xdr:cNvPicPr>
      </xdr:nvPicPr>
      <xdr:blipFill>
        <a:blip xmlns:r="http://schemas.openxmlformats.org/officeDocument/2006/relationships" r:embed="rId19"/>
        <a:stretch>
          <a:fillRect/>
        </a:stretch>
      </xdr:blipFill>
      <xdr:spPr>
        <a:xfrm>
          <a:off x="21383625" y="34461450"/>
          <a:ext cx="4562475" cy="3848100"/>
        </a:xfrm>
        <a:prstGeom prst="rect">
          <a:avLst/>
        </a:prstGeom>
      </xdr:spPr>
    </xdr:pic>
    <xdr:clientData/>
  </xdr:twoCellAnchor>
  <xdr:twoCellAnchor>
    <xdr:from>
      <xdr:col>31</xdr:col>
      <xdr:colOff>304800</xdr:colOff>
      <xdr:row>129</xdr:row>
      <xdr:rowOff>76200</xdr:rowOff>
    </xdr:from>
    <xdr:to>
      <xdr:col>33</xdr:col>
      <xdr:colOff>104775</xdr:colOff>
      <xdr:row>132</xdr:row>
      <xdr:rowOff>9525</xdr:rowOff>
    </xdr:to>
    <xdr:sp macro="" textlink="">
      <xdr:nvSpPr>
        <xdr:cNvPr id="3" name="Seta Para a Direita 2">
          <a:extLst>
            <a:ext uri="{FF2B5EF4-FFF2-40B4-BE49-F238E27FC236}">
              <a16:creationId xmlns:a16="http://schemas.microsoft.com/office/drawing/2014/main" id="{4DA2C015-EF6A-DC1B-7B77-F7ED47E861AD}"/>
            </a:ext>
            <a:ext uri="{147F2762-F138-4A5C-976F-8EAC2B608ADB}">
              <a16:predDERef xmlns:a16="http://schemas.microsoft.com/office/drawing/2014/main" pred="{FA343F53-9A92-FD1A-B112-9C4EDB9B1154}"/>
            </a:ext>
          </a:extLst>
        </xdr:cNvPr>
        <xdr:cNvSpPr/>
      </xdr:nvSpPr>
      <xdr:spPr>
        <a:xfrm>
          <a:off x="20831175" y="24650700"/>
          <a:ext cx="1019175" cy="504825"/>
        </a:xfrm>
        <a:prstGeom prst="rightArrow">
          <a:avLst/>
        </a:prstGeom>
        <a:solidFill>
          <a:srgbClr val="C00000"/>
        </a:solidFill>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US"/>
        </a:p>
      </xdr:txBody>
    </xdr:sp>
    <xdr:clientData/>
  </xdr:twoCellAnchor>
  <xdr:twoCellAnchor>
    <xdr:from>
      <xdr:col>29</xdr:col>
      <xdr:colOff>590550</xdr:colOff>
      <xdr:row>75</xdr:row>
      <xdr:rowOff>123825</xdr:rowOff>
    </xdr:from>
    <xdr:to>
      <xdr:col>31</xdr:col>
      <xdr:colOff>390525</xdr:colOff>
      <xdr:row>78</xdr:row>
      <xdr:rowOff>57150</xdr:rowOff>
    </xdr:to>
    <xdr:sp macro="" textlink="">
      <xdr:nvSpPr>
        <xdr:cNvPr id="21" name="Seta Para a Direita 20">
          <a:extLst>
            <a:ext uri="{FF2B5EF4-FFF2-40B4-BE49-F238E27FC236}">
              <a16:creationId xmlns:a16="http://schemas.microsoft.com/office/drawing/2014/main" id="{B898B6E6-0C62-44A1-906E-0481E494F11B}"/>
            </a:ext>
            <a:ext uri="{147F2762-F138-4A5C-976F-8EAC2B608ADB}">
              <a16:predDERef xmlns:a16="http://schemas.microsoft.com/office/drawing/2014/main" pred="{4DA2C015-EF6A-DC1B-7B77-F7ED47E861AD}"/>
            </a:ext>
          </a:extLst>
        </xdr:cNvPr>
        <xdr:cNvSpPr/>
      </xdr:nvSpPr>
      <xdr:spPr>
        <a:xfrm>
          <a:off x="19897725" y="14411325"/>
          <a:ext cx="1019175" cy="504825"/>
        </a:xfrm>
        <a:prstGeom prst="rightArrow">
          <a:avLst/>
        </a:prstGeom>
        <a:solidFill>
          <a:srgbClr val="C00000"/>
        </a:solidFill>
      </xdr:spPr>
      <xdr:style>
        <a:lnRef idx="1">
          <a:schemeClr val="accent6"/>
        </a:lnRef>
        <a:fillRef idx="2">
          <a:schemeClr val="accent6"/>
        </a:fillRef>
        <a:effectRef idx="1">
          <a:schemeClr val="accent6"/>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l"/>
          <a:endParaRPr lang="en-US"/>
        </a:p>
      </xdr:txBody>
    </xdr:sp>
    <xdr:clientData/>
  </xdr:twoCellAnchor>
  <xdr:twoCellAnchor>
    <xdr:from>
      <xdr:col>28</xdr:col>
      <xdr:colOff>428625</xdr:colOff>
      <xdr:row>152</xdr:row>
      <xdr:rowOff>38100</xdr:rowOff>
    </xdr:from>
    <xdr:to>
      <xdr:col>30</xdr:col>
      <xdr:colOff>228600</xdr:colOff>
      <xdr:row>154</xdr:row>
      <xdr:rowOff>161925</xdr:rowOff>
    </xdr:to>
    <xdr:sp macro="" textlink="">
      <xdr:nvSpPr>
        <xdr:cNvPr id="22" name="Seta Para a Direita 21">
          <a:extLst>
            <a:ext uri="{FF2B5EF4-FFF2-40B4-BE49-F238E27FC236}">
              <a16:creationId xmlns:a16="http://schemas.microsoft.com/office/drawing/2014/main" id="{BC38455C-47D7-456C-9DAB-72763BEB270A}"/>
            </a:ext>
            <a:ext uri="{147F2762-F138-4A5C-976F-8EAC2B608ADB}">
              <a16:predDERef xmlns:a16="http://schemas.microsoft.com/office/drawing/2014/main" pred="{B898B6E6-0C62-44A1-906E-0481E494F11B}"/>
            </a:ext>
          </a:extLst>
        </xdr:cNvPr>
        <xdr:cNvSpPr/>
      </xdr:nvSpPr>
      <xdr:spPr>
        <a:xfrm>
          <a:off x="19126200" y="28994100"/>
          <a:ext cx="1019175" cy="504825"/>
        </a:xfrm>
        <a:prstGeom prst="rightArrow">
          <a:avLst/>
        </a:prstGeom>
        <a:solidFill>
          <a:srgbClr val="C00000"/>
        </a:solidFill>
      </xdr:spPr>
      <xdr:style>
        <a:lnRef idx="1">
          <a:schemeClr val="accent6"/>
        </a:lnRef>
        <a:fillRef idx="2">
          <a:schemeClr val="accent6"/>
        </a:fillRef>
        <a:effectRef idx="1">
          <a:schemeClr val="accent6"/>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l"/>
          <a:endParaRPr lang="en-US"/>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12</xdr:col>
      <xdr:colOff>390525</xdr:colOff>
      <xdr:row>0</xdr:row>
      <xdr:rowOff>0</xdr:rowOff>
    </xdr:from>
    <xdr:to>
      <xdr:col>19</xdr:col>
      <xdr:colOff>438150</xdr:colOff>
      <xdr:row>11</xdr:row>
      <xdr:rowOff>66675</xdr:rowOff>
    </xdr:to>
    <xdr:pic>
      <xdr:nvPicPr>
        <xdr:cNvPr id="2" name="Imagem 1">
          <a:extLst>
            <a:ext uri="{FF2B5EF4-FFF2-40B4-BE49-F238E27FC236}">
              <a16:creationId xmlns:a16="http://schemas.microsoft.com/office/drawing/2014/main" id="{F7AD6E4E-34BF-CB7A-3F27-789FD4EBD2C1}"/>
            </a:ext>
          </a:extLst>
        </xdr:cNvPr>
        <xdr:cNvPicPr>
          <a:picLocks noChangeAspect="1"/>
        </xdr:cNvPicPr>
      </xdr:nvPicPr>
      <xdr:blipFill>
        <a:blip xmlns:r="http://schemas.openxmlformats.org/officeDocument/2006/relationships" r:embed="rId1"/>
        <a:stretch>
          <a:fillRect/>
        </a:stretch>
      </xdr:blipFill>
      <xdr:spPr>
        <a:xfrm>
          <a:off x="7705725" y="0"/>
          <a:ext cx="4314825" cy="23050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19050</xdr:colOff>
      <xdr:row>18</xdr:row>
      <xdr:rowOff>57150</xdr:rowOff>
    </xdr:from>
    <xdr:to>
      <xdr:col>2</xdr:col>
      <xdr:colOff>400050</xdr:colOff>
      <xdr:row>33</xdr:row>
      <xdr:rowOff>0</xdr:rowOff>
    </xdr:to>
    <xdr:pic>
      <xdr:nvPicPr>
        <xdr:cNvPr id="7" name="Imagem 4">
          <a:extLst>
            <a:ext uri="{FF2B5EF4-FFF2-40B4-BE49-F238E27FC236}">
              <a16:creationId xmlns:a16="http://schemas.microsoft.com/office/drawing/2014/main" id="{B5666FBA-F3BA-68AB-A6DE-C50D7C8E2C99}"/>
            </a:ext>
            <a:ext uri="{147F2762-F138-4A5C-976F-8EAC2B608ADB}">
              <a16:predDERef xmlns:a16="http://schemas.microsoft.com/office/drawing/2014/main" pred="{D75F0961-1900-BB8B-8EDE-A906026B347F}"/>
            </a:ext>
          </a:extLst>
        </xdr:cNvPr>
        <xdr:cNvPicPr>
          <a:picLocks noChangeAspect="1"/>
        </xdr:cNvPicPr>
      </xdr:nvPicPr>
      <xdr:blipFill>
        <a:blip xmlns:r="http://schemas.openxmlformats.org/officeDocument/2006/relationships" r:embed="rId1"/>
        <a:stretch>
          <a:fillRect/>
        </a:stretch>
      </xdr:blipFill>
      <xdr:spPr>
        <a:xfrm>
          <a:off x="1819275" y="3886200"/>
          <a:ext cx="3600450" cy="2800350"/>
        </a:xfrm>
        <a:prstGeom prst="rect">
          <a:avLst/>
        </a:prstGeom>
      </xdr:spPr>
    </xdr:pic>
    <xdr:clientData/>
  </xdr:twoCellAnchor>
  <xdr:twoCellAnchor editAs="oneCell">
    <xdr:from>
      <xdr:col>0</xdr:col>
      <xdr:colOff>114300</xdr:colOff>
      <xdr:row>38</xdr:row>
      <xdr:rowOff>180975</xdr:rowOff>
    </xdr:from>
    <xdr:to>
      <xdr:col>1</xdr:col>
      <xdr:colOff>1647825</xdr:colOff>
      <xdr:row>62</xdr:row>
      <xdr:rowOff>180975</xdr:rowOff>
    </xdr:to>
    <xdr:pic>
      <xdr:nvPicPr>
        <xdr:cNvPr id="9" name="Imagem 5">
          <a:extLst>
            <a:ext uri="{FF2B5EF4-FFF2-40B4-BE49-F238E27FC236}">
              <a16:creationId xmlns:a16="http://schemas.microsoft.com/office/drawing/2014/main" id="{2FB8C939-2777-8C66-8E9E-A609108B33D1}"/>
            </a:ext>
            <a:ext uri="{147F2762-F138-4A5C-976F-8EAC2B608ADB}">
              <a16:predDERef xmlns:a16="http://schemas.microsoft.com/office/drawing/2014/main" pred="{B5666FBA-F3BA-68AB-A6DE-C50D7C8E2C99}"/>
            </a:ext>
          </a:extLst>
        </xdr:cNvPr>
        <xdr:cNvPicPr>
          <a:picLocks noChangeAspect="1"/>
        </xdr:cNvPicPr>
      </xdr:nvPicPr>
      <xdr:blipFill>
        <a:blip xmlns:r="http://schemas.openxmlformats.org/officeDocument/2006/relationships" r:embed="rId2"/>
        <a:stretch>
          <a:fillRect/>
        </a:stretch>
      </xdr:blipFill>
      <xdr:spPr>
        <a:xfrm>
          <a:off x="114300" y="7848600"/>
          <a:ext cx="4105275" cy="4572000"/>
        </a:xfrm>
        <a:prstGeom prst="rect">
          <a:avLst/>
        </a:prstGeom>
      </xdr:spPr>
    </xdr:pic>
    <xdr:clientData/>
  </xdr:twoCellAnchor>
  <xdr:twoCellAnchor editAs="oneCell">
    <xdr:from>
      <xdr:col>4</xdr:col>
      <xdr:colOff>285750</xdr:colOff>
      <xdr:row>80</xdr:row>
      <xdr:rowOff>66675</xdr:rowOff>
    </xdr:from>
    <xdr:to>
      <xdr:col>9</xdr:col>
      <xdr:colOff>152400</xdr:colOff>
      <xdr:row>97</xdr:row>
      <xdr:rowOff>209550</xdr:rowOff>
    </xdr:to>
    <xdr:pic>
      <xdr:nvPicPr>
        <xdr:cNvPr id="62" name="Imagem 1">
          <a:extLst>
            <a:ext uri="{FF2B5EF4-FFF2-40B4-BE49-F238E27FC236}">
              <a16:creationId xmlns:a16="http://schemas.microsoft.com/office/drawing/2014/main" id="{D9A32CDE-3BE1-E762-2CEF-9793EF4E4F44}"/>
            </a:ext>
            <a:ext uri="{147F2762-F138-4A5C-976F-8EAC2B608ADB}">
              <a16:predDERef xmlns:a16="http://schemas.microsoft.com/office/drawing/2014/main" pred="{2FB8C939-2777-8C66-8E9E-A609108B33D1}"/>
            </a:ext>
          </a:extLst>
        </xdr:cNvPr>
        <xdr:cNvPicPr>
          <a:picLocks noChangeAspect="1"/>
        </xdr:cNvPicPr>
      </xdr:nvPicPr>
      <xdr:blipFill>
        <a:blip xmlns:r="http://schemas.openxmlformats.org/officeDocument/2006/relationships" r:embed="rId3"/>
        <a:stretch>
          <a:fillRect/>
        </a:stretch>
      </xdr:blipFill>
      <xdr:spPr>
        <a:xfrm>
          <a:off x="8324850" y="15744825"/>
          <a:ext cx="6467475" cy="3619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38100</xdr:colOff>
      <xdr:row>9</xdr:row>
      <xdr:rowOff>123825</xdr:rowOff>
    </xdr:from>
    <xdr:to>
      <xdr:col>7</xdr:col>
      <xdr:colOff>438150</xdr:colOff>
      <xdr:row>22</xdr:row>
      <xdr:rowOff>285750</xdr:rowOff>
    </xdr:to>
    <xdr:pic>
      <xdr:nvPicPr>
        <xdr:cNvPr id="2" name="Imagem 1">
          <a:extLst>
            <a:ext uri="{FF2B5EF4-FFF2-40B4-BE49-F238E27FC236}">
              <a16:creationId xmlns:a16="http://schemas.microsoft.com/office/drawing/2014/main" id="{8D1929D2-4FC9-833A-3D04-E24C32835ABB}"/>
            </a:ext>
          </a:extLst>
        </xdr:cNvPr>
        <xdr:cNvPicPr>
          <a:picLocks noChangeAspect="1"/>
        </xdr:cNvPicPr>
      </xdr:nvPicPr>
      <xdr:blipFill>
        <a:blip xmlns:r="http://schemas.openxmlformats.org/officeDocument/2006/relationships" r:embed="rId1"/>
        <a:stretch>
          <a:fillRect/>
        </a:stretch>
      </xdr:blipFill>
      <xdr:spPr>
        <a:xfrm>
          <a:off x="38100" y="1466850"/>
          <a:ext cx="6562725" cy="2847975"/>
        </a:xfrm>
        <a:prstGeom prst="rect">
          <a:avLst/>
        </a:prstGeom>
      </xdr:spPr>
    </xdr:pic>
    <xdr:clientData/>
  </xdr:twoCellAnchor>
  <xdr:twoCellAnchor editAs="oneCell">
    <xdr:from>
      <xdr:col>10</xdr:col>
      <xdr:colOff>76200</xdr:colOff>
      <xdr:row>8</xdr:row>
      <xdr:rowOff>57150</xdr:rowOff>
    </xdr:from>
    <xdr:to>
      <xdr:col>24</xdr:col>
      <xdr:colOff>304800</xdr:colOff>
      <xdr:row>32</xdr:row>
      <xdr:rowOff>66675</xdr:rowOff>
    </xdr:to>
    <xdr:pic>
      <xdr:nvPicPr>
        <xdr:cNvPr id="3" name="Imagem 2">
          <a:extLst>
            <a:ext uri="{FF2B5EF4-FFF2-40B4-BE49-F238E27FC236}">
              <a16:creationId xmlns:a16="http://schemas.microsoft.com/office/drawing/2014/main" id="{0138B2A3-0EE8-C85E-56D9-9B8FEE3BD9AD}"/>
            </a:ext>
            <a:ext uri="{147F2762-F138-4A5C-976F-8EAC2B608ADB}">
              <a16:predDERef xmlns:a16="http://schemas.microsoft.com/office/drawing/2014/main" pred="{8D1929D2-4FC9-833A-3D04-E24C32835ABB}"/>
            </a:ext>
          </a:extLst>
        </xdr:cNvPr>
        <xdr:cNvPicPr>
          <a:picLocks noChangeAspect="1"/>
        </xdr:cNvPicPr>
      </xdr:nvPicPr>
      <xdr:blipFill>
        <a:blip xmlns:r="http://schemas.openxmlformats.org/officeDocument/2006/relationships" r:embed="rId2"/>
        <a:stretch>
          <a:fillRect/>
        </a:stretch>
      </xdr:blipFill>
      <xdr:spPr>
        <a:xfrm>
          <a:off x="8258175" y="1438275"/>
          <a:ext cx="8867775" cy="5391150"/>
        </a:xfrm>
        <a:prstGeom prst="rect">
          <a:avLst/>
        </a:prstGeom>
      </xdr:spPr>
    </xdr:pic>
    <xdr:clientData/>
  </xdr:twoCellAnchor>
  <xdr:twoCellAnchor editAs="oneCell">
    <xdr:from>
      <xdr:col>9</xdr:col>
      <xdr:colOff>38100</xdr:colOff>
      <xdr:row>37</xdr:row>
      <xdr:rowOff>142875</xdr:rowOff>
    </xdr:from>
    <xdr:to>
      <xdr:col>24</xdr:col>
      <xdr:colOff>361950</xdr:colOff>
      <xdr:row>45</xdr:row>
      <xdr:rowOff>238125</xdr:rowOff>
    </xdr:to>
    <xdr:pic>
      <xdr:nvPicPr>
        <xdr:cNvPr id="4" name="Imagem 3">
          <a:extLst>
            <a:ext uri="{FF2B5EF4-FFF2-40B4-BE49-F238E27FC236}">
              <a16:creationId xmlns:a16="http://schemas.microsoft.com/office/drawing/2014/main" id="{496861AE-01BD-9B56-17D1-D8986B57B45D}"/>
            </a:ext>
            <a:ext uri="{147F2762-F138-4A5C-976F-8EAC2B608ADB}">
              <a16:predDERef xmlns:a16="http://schemas.microsoft.com/office/drawing/2014/main" pred="{0138B2A3-0EE8-C85E-56D9-9B8FEE3BD9AD}"/>
            </a:ext>
          </a:extLst>
        </xdr:cNvPr>
        <xdr:cNvPicPr>
          <a:picLocks noChangeAspect="1"/>
        </xdr:cNvPicPr>
      </xdr:nvPicPr>
      <xdr:blipFill>
        <a:blip xmlns:r="http://schemas.openxmlformats.org/officeDocument/2006/relationships" r:embed="rId3"/>
        <a:stretch>
          <a:fillRect/>
        </a:stretch>
      </xdr:blipFill>
      <xdr:spPr>
        <a:xfrm>
          <a:off x="7515225" y="7048500"/>
          <a:ext cx="9667875" cy="2619375"/>
        </a:xfrm>
        <a:prstGeom prst="rect">
          <a:avLst/>
        </a:prstGeom>
      </xdr:spPr>
    </xdr:pic>
    <xdr:clientData/>
  </xdr:twoCellAnchor>
  <xdr:twoCellAnchor editAs="oneCell">
    <xdr:from>
      <xdr:col>10</xdr:col>
      <xdr:colOff>371475</xdr:colOff>
      <xdr:row>54</xdr:row>
      <xdr:rowOff>19050</xdr:rowOff>
    </xdr:from>
    <xdr:to>
      <xdr:col>18</xdr:col>
      <xdr:colOff>333375</xdr:colOff>
      <xdr:row>76</xdr:row>
      <xdr:rowOff>0</xdr:rowOff>
    </xdr:to>
    <xdr:pic>
      <xdr:nvPicPr>
        <xdr:cNvPr id="5" name="Imagem 4">
          <a:extLst>
            <a:ext uri="{FF2B5EF4-FFF2-40B4-BE49-F238E27FC236}">
              <a16:creationId xmlns:a16="http://schemas.microsoft.com/office/drawing/2014/main" id="{8727C5C3-3C31-2EC7-63A9-248AC5FC86F2}"/>
            </a:ext>
            <a:ext uri="{147F2762-F138-4A5C-976F-8EAC2B608ADB}">
              <a16:predDERef xmlns:a16="http://schemas.microsoft.com/office/drawing/2014/main" pred="{496861AE-01BD-9B56-17D1-D8986B57B45D}"/>
            </a:ext>
          </a:extLst>
        </xdr:cNvPr>
        <xdr:cNvPicPr>
          <a:picLocks noChangeAspect="1"/>
        </xdr:cNvPicPr>
      </xdr:nvPicPr>
      <xdr:blipFill>
        <a:blip xmlns:r="http://schemas.openxmlformats.org/officeDocument/2006/relationships" r:embed="rId4"/>
        <a:stretch>
          <a:fillRect/>
        </a:stretch>
      </xdr:blipFill>
      <xdr:spPr>
        <a:xfrm>
          <a:off x="8553450" y="10163175"/>
          <a:ext cx="4943475" cy="4171950"/>
        </a:xfrm>
        <a:prstGeom prst="rect">
          <a:avLst/>
        </a:prstGeom>
      </xdr:spPr>
    </xdr:pic>
    <xdr:clientData/>
  </xdr:twoCellAnchor>
  <xdr:twoCellAnchor editAs="oneCell">
    <xdr:from>
      <xdr:col>27</xdr:col>
      <xdr:colOff>38100</xdr:colOff>
      <xdr:row>4</xdr:row>
      <xdr:rowOff>85725</xdr:rowOff>
    </xdr:from>
    <xdr:to>
      <xdr:col>34</xdr:col>
      <xdr:colOff>0</xdr:colOff>
      <xdr:row>16</xdr:row>
      <xdr:rowOff>47625</xdr:rowOff>
    </xdr:to>
    <xdr:pic>
      <xdr:nvPicPr>
        <xdr:cNvPr id="6" name="Imagem 5">
          <a:extLst>
            <a:ext uri="{FF2B5EF4-FFF2-40B4-BE49-F238E27FC236}">
              <a16:creationId xmlns:a16="http://schemas.microsoft.com/office/drawing/2014/main" id="{A08B219F-16F1-FF45-726B-FCFDA1CB6CA2}"/>
            </a:ext>
            <a:ext uri="{147F2762-F138-4A5C-976F-8EAC2B608ADB}">
              <a16:predDERef xmlns:a16="http://schemas.microsoft.com/office/drawing/2014/main" pred="{8727C5C3-3C31-2EC7-63A9-248AC5FC86F2}"/>
            </a:ext>
          </a:extLst>
        </xdr:cNvPr>
        <xdr:cNvPicPr>
          <a:picLocks noChangeAspect="1"/>
        </xdr:cNvPicPr>
      </xdr:nvPicPr>
      <xdr:blipFill>
        <a:blip xmlns:r="http://schemas.openxmlformats.org/officeDocument/2006/relationships" r:embed="rId5"/>
        <a:stretch>
          <a:fillRect/>
        </a:stretch>
      </xdr:blipFill>
      <xdr:spPr>
        <a:xfrm>
          <a:off x="18688050" y="476250"/>
          <a:ext cx="4572000" cy="2476500"/>
        </a:xfrm>
        <a:prstGeom prst="rect">
          <a:avLst/>
        </a:prstGeom>
      </xdr:spPr>
    </xdr:pic>
    <xdr:clientData/>
  </xdr:twoCellAnchor>
  <xdr:twoCellAnchor editAs="oneCell">
    <xdr:from>
      <xdr:col>27</xdr:col>
      <xdr:colOff>0</xdr:colOff>
      <xdr:row>22</xdr:row>
      <xdr:rowOff>0</xdr:rowOff>
    </xdr:from>
    <xdr:to>
      <xdr:col>39</xdr:col>
      <xdr:colOff>57150</xdr:colOff>
      <xdr:row>38</xdr:row>
      <xdr:rowOff>304800</xdr:rowOff>
    </xdr:to>
    <xdr:pic>
      <xdr:nvPicPr>
        <xdr:cNvPr id="7" name="Imagem 6">
          <a:extLst>
            <a:ext uri="{FF2B5EF4-FFF2-40B4-BE49-F238E27FC236}">
              <a16:creationId xmlns:a16="http://schemas.microsoft.com/office/drawing/2014/main" id="{460394C8-C25D-5632-EAC2-9FB7E874EB8D}"/>
            </a:ext>
            <a:ext uri="{147F2762-F138-4A5C-976F-8EAC2B608ADB}">
              <a16:predDERef xmlns:a16="http://schemas.microsoft.com/office/drawing/2014/main" pred="{A08B219F-16F1-FF45-726B-FCFDA1CB6CA2}"/>
            </a:ext>
          </a:extLst>
        </xdr:cNvPr>
        <xdr:cNvPicPr>
          <a:picLocks noChangeAspect="1"/>
        </xdr:cNvPicPr>
      </xdr:nvPicPr>
      <xdr:blipFill>
        <a:blip xmlns:r="http://schemas.openxmlformats.org/officeDocument/2006/relationships" r:embed="rId6"/>
        <a:stretch>
          <a:fillRect/>
        </a:stretch>
      </xdr:blipFill>
      <xdr:spPr>
        <a:xfrm>
          <a:off x="18649950" y="4048125"/>
          <a:ext cx="7715250" cy="3952875"/>
        </a:xfrm>
        <a:prstGeom prst="rect">
          <a:avLst/>
        </a:prstGeom>
      </xdr:spPr>
    </xdr:pic>
    <xdr:clientData/>
  </xdr:twoCellAnchor>
  <xdr:twoCellAnchor editAs="oneCell">
    <xdr:from>
      <xdr:col>27</xdr:col>
      <xdr:colOff>85725</xdr:colOff>
      <xdr:row>47</xdr:row>
      <xdr:rowOff>104775</xdr:rowOff>
    </xdr:from>
    <xdr:to>
      <xdr:col>41</xdr:col>
      <xdr:colOff>438150</xdr:colOff>
      <xdr:row>88</xdr:row>
      <xdr:rowOff>66675</xdr:rowOff>
    </xdr:to>
    <xdr:pic>
      <xdr:nvPicPr>
        <xdr:cNvPr id="11" name="Imagem 7">
          <a:extLst>
            <a:ext uri="{FF2B5EF4-FFF2-40B4-BE49-F238E27FC236}">
              <a16:creationId xmlns:a16="http://schemas.microsoft.com/office/drawing/2014/main" id="{8DD6CD0B-9897-6A55-ED92-94E787D769E8}"/>
            </a:ext>
            <a:ext uri="{147F2762-F138-4A5C-976F-8EAC2B608ADB}">
              <a16:predDERef xmlns:a16="http://schemas.microsoft.com/office/drawing/2014/main" pred="{460394C8-C25D-5632-EAC2-9FB7E874EB8D}"/>
            </a:ext>
          </a:extLst>
        </xdr:cNvPr>
        <xdr:cNvPicPr>
          <a:picLocks noChangeAspect="1"/>
        </xdr:cNvPicPr>
      </xdr:nvPicPr>
      <xdr:blipFill>
        <a:blip xmlns:r="http://schemas.openxmlformats.org/officeDocument/2006/relationships" r:embed="rId7"/>
        <a:stretch>
          <a:fillRect/>
        </a:stretch>
      </xdr:blipFill>
      <xdr:spPr>
        <a:xfrm>
          <a:off x="18735675" y="9486900"/>
          <a:ext cx="9229725" cy="8162925"/>
        </a:xfrm>
        <a:prstGeom prst="rect">
          <a:avLst/>
        </a:prstGeom>
      </xdr:spPr>
    </xdr:pic>
    <xdr:clientData/>
  </xdr:twoCellAnchor>
  <xdr:twoCellAnchor editAs="oneCell">
    <xdr:from>
      <xdr:col>49</xdr:col>
      <xdr:colOff>0</xdr:colOff>
      <xdr:row>4</xdr:row>
      <xdr:rowOff>85725</xdr:rowOff>
    </xdr:from>
    <xdr:to>
      <xdr:col>56</xdr:col>
      <xdr:colOff>295275</xdr:colOff>
      <xdr:row>18</xdr:row>
      <xdr:rowOff>57150</xdr:rowOff>
    </xdr:to>
    <xdr:pic>
      <xdr:nvPicPr>
        <xdr:cNvPr id="8" name="Imagem 7">
          <a:extLst>
            <a:ext uri="{FF2B5EF4-FFF2-40B4-BE49-F238E27FC236}">
              <a16:creationId xmlns:a16="http://schemas.microsoft.com/office/drawing/2014/main" id="{D873881E-B74F-758D-D1EE-5534D7FC37AE}"/>
            </a:ext>
            <a:ext uri="{147F2762-F138-4A5C-976F-8EAC2B608ADB}">
              <a16:predDERef xmlns:a16="http://schemas.microsoft.com/office/drawing/2014/main" pred="{8DD6CD0B-9897-6A55-ED92-94E787D769E8}"/>
            </a:ext>
          </a:extLst>
        </xdr:cNvPr>
        <xdr:cNvPicPr>
          <a:picLocks noChangeAspect="1"/>
        </xdr:cNvPicPr>
      </xdr:nvPicPr>
      <xdr:blipFill>
        <a:blip xmlns:r="http://schemas.openxmlformats.org/officeDocument/2006/relationships" r:embed="rId8"/>
        <a:stretch>
          <a:fillRect/>
        </a:stretch>
      </xdr:blipFill>
      <xdr:spPr>
        <a:xfrm>
          <a:off x="34671000" y="1047750"/>
          <a:ext cx="4562475" cy="2867025"/>
        </a:xfrm>
        <a:prstGeom prst="rect">
          <a:avLst/>
        </a:prstGeom>
      </xdr:spPr>
    </xdr:pic>
    <xdr:clientData/>
  </xdr:twoCellAnchor>
  <xdr:twoCellAnchor editAs="oneCell">
    <xdr:from>
      <xdr:col>44</xdr:col>
      <xdr:colOff>28575</xdr:colOff>
      <xdr:row>55</xdr:row>
      <xdr:rowOff>28575</xdr:rowOff>
    </xdr:from>
    <xdr:to>
      <xdr:col>49</xdr:col>
      <xdr:colOff>0</xdr:colOff>
      <xdr:row>78</xdr:row>
      <xdr:rowOff>123825</xdr:rowOff>
    </xdr:to>
    <xdr:pic>
      <xdr:nvPicPr>
        <xdr:cNvPr id="12" name="Imagem 11">
          <a:extLst>
            <a:ext uri="{FF2B5EF4-FFF2-40B4-BE49-F238E27FC236}">
              <a16:creationId xmlns:a16="http://schemas.microsoft.com/office/drawing/2014/main" id="{33DD89A5-AC73-A583-02B6-518A3C540786}"/>
            </a:ext>
            <a:ext uri="{147F2762-F138-4A5C-976F-8EAC2B608ADB}">
              <a16:predDERef xmlns:a16="http://schemas.microsoft.com/office/drawing/2014/main" pred="{D873881E-B74F-758D-D1EE-5534D7FC37AE}"/>
            </a:ext>
          </a:extLst>
        </xdr:cNvPr>
        <xdr:cNvPicPr>
          <a:picLocks noChangeAspect="1"/>
        </xdr:cNvPicPr>
      </xdr:nvPicPr>
      <xdr:blipFill>
        <a:blip xmlns:r="http://schemas.openxmlformats.org/officeDocument/2006/relationships" r:embed="rId9"/>
        <a:stretch>
          <a:fillRect/>
        </a:stretch>
      </xdr:blipFill>
      <xdr:spPr>
        <a:xfrm>
          <a:off x="29384625" y="13916025"/>
          <a:ext cx="6229350" cy="44767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466725</xdr:colOff>
      <xdr:row>13</xdr:row>
      <xdr:rowOff>19050</xdr:rowOff>
    </xdr:from>
    <xdr:to>
      <xdr:col>23</xdr:col>
      <xdr:colOff>66675</xdr:colOff>
      <xdr:row>60</xdr:row>
      <xdr:rowOff>123825</xdr:rowOff>
    </xdr:to>
    <xdr:graphicFrame macro="">
      <xdr:nvGraphicFramePr>
        <xdr:cNvPr id="26" name="Gráfico 2">
          <a:extLst>
            <a:ext uri="{FF2B5EF4-FFF2-40B4-BE49-F238E27FC236}">
              <a16:creationId xmlns:a16="http://schemas.microsoft.com/office/drawing/2014/main" id="{6E3FE69B-07C1-40EF-815C-CA0EDA84F4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Ana Figueiredo" id="{4E850EA0-0356-4825-A10F-2A01D916E968}" userId="f9ad1af15a9fdf27"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J4" dT="2023-05-16T16:58:14.20" personId="{4E850EA0-0356-4825-A10F-2A01D916E968}" id="{DFC291A1-5659-4560-833E-22103EE3DEB0}">
    <text>a cevada é cultivada para enriquecer o solo com nutrientes</text>
  </threadedComment>
  <threadedComment ref="V56" dT="2023-05-16T11:26:52.27" personId="{4E850EA0-0356-4825-A10F-2A01D916E968}" id="{75181A99-7654-4700-9F9F-5C05429FE533}">
    <text>Diesel for transportation is included in total diesel consumption</text>
  </threadedComment>
  <threadedComment ref="Y56" dT="2023-05-16T11:31:35.56" personId="{4E850EA0-0356-4825-A10F-2A01D916E968}" id="{A7DD4811-49C7-4F93-8998-F4CB31848752}">
    <text>Diesel for transportation is included in total diesel consumption</text>
  </threadedComment>
  <threadedComment ref="AC56" dT="2023-05-16T13:59:25.91" personId="{4E850EA0-0356-4825-A10F-2A01D916E968}" id="{7A73F350-7B9D-44C7-A02B-2BA773AB8FA0}">
    <text>Include Diesel for Grape transportation</text>
  </threadedComment>
  <threadedComment ref="S58" dT="2023-05-16T11:22:31.08" personId="{4E850EA0-0356-4825-A10F-2A01D916E968}" id="{51D6A92B-924A-4744-B47C-3E5E4BD06BEF}">
    <text>Valor médio: 2011 = 5.85 e 2012 = 6.5</text>
  </threadedComment>
</ThreadedComments>
</file>

<file path=xl/threadedComments/threadedComment2.xml><?xml version="1.0" encoding="utf-8"?>
<ThreadedComments xmlns="http://schemas.microsoft.com/office/spreadsheetml/2018/threadedcomments" xmlns:x="http://schemas.openxmlformats.org/spreadsheetml/2006/main">
  <threadedComment ref="AC21" dT="2023-05-16T16:18:59.65" personId="{4E850EA0-0356-4825-A10F-2A01D916E968}" id="{07517B4B-3023-48A7-9C47-9E7B1A4D07D7}">
    <text>Acho que não se pode somar!!!!</text>
  </threadedComment>
</ThreadedComments>
</file>

<file path=xl/threadedComments/threadedComment3.xml><?xml version="1.0" encoding="utf-8"?>
<ThreadedComments xmlns="http://schemas.microsoft.com/office/spreadsheetml/2018/threadedcomments" xmlns:x="http://schemas.openxmlformats.org/spreadsheetml/2006/main">
  <threadedComment ref="B44" dT="2023-05-10T15:57:43.92" personId="{4E850EA0-0356-4825-A10F-2A01D916E968}" id="{D594D6A5-A04E-4B53-9E84-389FBBB9B134}">
    <text>Número calculado com base nos dados registrados da caldeira de casca da fábrica, forno de recuperação e forno de cal.</text>
  </threadedComment>
  <threadedComment ref="B49" dT="2023-05-10T15:59:46.97" personId="{4E850EA0-0356-4825-A10F-2A01D916E968}" id="{21089C0B-4168-4166-8B89-5AEE55953586}">
    <text>Número calculado subtraindo o vapor total gerado com a quantidade interna usada.</text>
  </threadedComment>
</ThreadedComments>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hyperlink" Target="https://www.ncbi.nlm.nih.gov/pmc/articles/PMC8578682/table/T1/?report=objectonly" TargetMode="External"/><Relationship Id="rId1" Type="http://schemas.openxmlformats.org/officeDocument/2006/relationships/hyperlink" Target="https://www.repository.utl.pt/bitstream/10400.5/27446/1/Avalia%C3%A7%C3%A3o%20de%20ciclo%20de%20vida%20da%20produ%C3%A7%C3%A3o%20de%20carne%20de%20su%C3%ADno%20branco%20biol%C3%B3gico%20em%20pastoreio.pdf"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dx.doi.org/10.1016/j.scitotenv.2012.09.022" TargetMode="Externa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2" Type="http://schemas.openxmlformats.org/officeDocument/2006/relationships/hyperlink" Target="https://www.researchgate.net/publication/262568974_Life_Cycle_Assessment_of_broiler_chicken_production_A_Portuguese_case_study" TargetMode="External"/><Relationship Id="rId1" Type="http://schemas.openxmlformats.org/officeDocument/2006/relationships/hyperlink" Target="https://ria.ua.pt/bitstream/10773/8476/1/248283.pdf"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https://www.sciencedirect.com/science/article/abs/pii/S0959652618300751" TargetMode="External"/><Relationship Id="rId2" Type="http://schemas.openxmlformats.org/officeDocument/2006/relationships/hyperlink" Target="https://reader.elsevier.com/reader/sd/pii/S0959652617304857?token=F243B48380D62DEBA47C2BCAAAFDDD9897967DFBD95E14BAD79DC0D328E3FA910521E725EFCCD965CDC79651951331D3&amp;originRegion=eu-west-1&amp;originCreation=20230510085611" TargetMode="External"/><Relationship Id="rId1" Type="http://schemas.openxmlformats.org/officeDocument/2006/relationships/hyperlink" Target="https://reader.elsevier.com/reader/sd/pii/S0959652618300751?token=5594046DD6E454A7D635A10F03B8C17F2CF70D37D73BEE4952C68D7D259A7D072468FBCAE4E3CCF3CFB871318A54FC7B&amp;originRegion=eu-west-1&amp;originCreation=20230509135605" TargetMode="External"/><Relationship Id="rId5" Type="http://schemas.openxmlformats.org/officeDocument/2006/relationships/hyperlink" Target="https://www.sciencedirect.com/science/article/abs/pii/S0959652617304857" TargetMode="External"/><Relationship Id="rId4" Type="http://schemas.openxmlformats.org/officeDocument/2006/relationships/hyperlink" Target="https://www.sciencedirect.com/science/article/abs/pii/S0959652617304857"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www.google.com/search?q=life+cycle+assessment+olive+oil+portugal&amp;rlz=1C1FCXM_pt-PTPT990PT990&amp;oq=life+cycle+assessment+olive+oil+portugal&amp;aqs=chrome..69i57.9143j0j4&amp;sourceid=chrome&amp;ie=UTF-8" TargetMode="External"/><Relationship Id="rId2" Type="http://schemas.openxmlformats.org/officeDocument/2006/relationships/hyperlink" Target="https://www.google.com/search?q=life+cycle+assessment+olive+oil+portugal&amp;rlz=1C1FCXM_pt-PTPT990PT990&amp;oq=life+cycle+assessment+olive+oil+portugal&amp;aqs=chrome..69i57.9143j0j4&amp;sourceid=chrome&amp;ie=UTF-8" TargetMode="External"/><Relationship Id="rId1" Type="http://schemas.openxmlformats.org/officeDocument/2006/relationships/hyperlink" Target="https://bibliotecadigital.ipb.pt/bitstream/10198/10845/1/efs_artigo_apple.pdf" TargetMode="External"/><Relationship Id="rId4" Type="http://schemas.openxmlformats.org/officeDocument/2006/relationships/hyperlink" Target="https://bibliotecadigital.ipb.pt/bitstream/10198/10845/1/efs_artigo_apple.pdf" TargetMode="External"/></Relationships>
</file>

<file path=xl/worksheets/_rels/sheet5.xml.rels><?xml version="1.0" encoding="UTF-8" standalone="yes"?>
<Relationships xmlns="http://schemas.openxmlformats.org/package/2006/relationships"><Relationship Id="rId2" Type="http://schemas.openxmlformats.org/officeDocument/2006/relationships/hyperlink" Target="https://reader.elsevier.com/reader/sd/pii/S0959652612005422?token=184C5CFA1FF888C2694F8CAF5BE17A1C89927722C6539E689A450763A202ADA26130348F9E6AFA0FADC93BB3CE1DEEA5&amp;originRegion=eu-west-1&amp;originCreation=20230508112206" TargetMode="External"/><Relationship Id="rId1" Type="http://schemas.openxmlformats.org/officeDocument/2006/relationships/hyperlink" Target="https://www.mdpi.com/2227-9717/8/9/1182"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hyperlink" Target="http://www2.dem.uc.pt/CenterIndustrialEcology/projects/Outputs%20Ecodeep/publicacoes/artigos%20conferecias/Figueiredo%20et%20al_LCA_wine_efs2015_final.pdf" TargetMode="External"/><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hyperlink" Target="http://www2.dem.uc.pt/CenterIndustrialEcology/projects/Outputs%20Ecodeep/publicacoes/artigos%20conferecias/Figueiredo%20et%20al_LCA_wine_efs2015_final.pdf" TargetMode="External"/><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www2.dem.uc.pt/CenterIndustrialEcology/projects/Outputs%20Ecodeep/publicacoes/artigos%20conferecias/Figueiredo%20et%20al_LCA_wine_efs2015_final.pdf"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www.medwaterice.org/elementor-321/"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17E10C-E518-4C6D-8E33-53AEFC96CE36}">
  <dimension ref="B2:H54"/>
  <sheetViews>
    <sheetView topLeftCell="B26" workbookViewId="0">
      <selection activeCell="F26" sqref="F26:F27"/>
    </sheetView>
  </sheetViews>
  <sheetFormatPr defaultRowHeight="14.4" x14ac:dyDescent="0.3"/>
  <cols>
    <col min="1" max="1" width="12.109375" bestFit="1" customWidth="1"/>
    <col min="2" max="2" width="21.44140625" bestFit="1" customWidth="1"/>
    <col min="3" max="3" width="44" bestFit="1" customWidth="1"/>
    <col min="4" max="4" width="29.109375" customWidth="1"/>
    <col min="5" max="5" width="24.6640625" style="4" bestFit="1" customWidth="1"/>
    <col min="12" max="12" width="21.44140625" bestFit="1" customWidth="1"/>
  </cols>
  <sheetData>
    <row r="2" spans="2:8" x14ac:dyDescent="0.3">
      <c r="E2" s="8" t="s">
        <v>0</v>
      </c>
    </row>
    <row r="3" spans="2:8" x14ac:dyDescent="0.3">
      <c r="E3" s="4" t="s">
        <v>1</v>
      </c>
    </row>
    <row r="4" spans="2:8" x14ac:dyDescent="0.3">
      <c r="B4" t="s">
        <v>2</v>
      </c>
      <c r="C4" s="3" t="s">
        <v>3</v>
      </c>
      <c r="D4" s="7" t="s">
        <v>4</v>
      </c>
      <c r="E4" s="8" t="s">
        <v>5</v>
      </c>
    </row>
    <row r="5" spans="2:8" x14ac:dyDescent="0.3">
      <c r="B5" s="1" t="s">
        <v>6</v>
      </c>
      <c r="C5" s="1"/>
      <c r="D5" s="1"/>
      <c r="E5" s="5"/>
      <c r="F5" s="1"/>
      <c r="G5" s="1"/>
      <c r="H5" s="1"/>
    </row>
    <row r="6" spans="2:8" x14ac:dyDescent="0.3">
      <c r="C6" s="2" t="s">
        <v>7</v>
      </c>
      <c r="D6" s="2"/>
      <c r="E6" s="6"/>
      <c r="F6" s="2"/>
      <c r="G6" s="2"/>
      <c r="H6" s="2"/>
    </row>
    <row r="7" spans="2:8" x14ac:dyDescent="0.3">
      <c r="D7" t="s">
        <v>8</v>
      </c>
      <c r="E7" s="4" t="s">
        <v>9</v>
      </c>
      <c r="F7" s="40" t="s">
        <v>10</v>
      </c>
    </row>
    <row r="8" spans="2:8" x14ac:dyDescent="0.3">
      <c r="D8" t="s">
        <v>8</v>
      </c>
    </row>
    <row r="9" spans="2:8" x14ac:dyDescent="0.3">
      <c r="D9" t="s">
        <v>11</v>
      </c>
      <c r="E9" s="4" t="s">
        <v>12</v>
      </c>
      <c r="F9" s="3" t="s">
        <v>13</v>
      </c>
    </row>
    <row r="10" spans="2:8" x14ac:dyDescent="0.3">
      <c r="D10" t="s">
        <v>14</v>
      </c>
      <c r="E10" s="4" t="s">
        <v>15</v>
      </c>
      <c r="F10" s="70" t="s">
        <v>10</v>
      </c>
    </row>
    <row r="11" spans="2:8" x14ac:dyDescent="0.3">
      <c r="D11" t="s">
        <v>14</v>
      </c>
      <c r="E11" s="4" t="s">
        <v>16</v>
      </c>
      <c r="F11" s="70" t="s">
        <v>10</v>
      </c>
    </row>
    <row r="12" spans="2:8" x14ac:dyDescent="0.3">
      <c r="D12" t="s">
        <v>17</v>
      </c>
      <c r="E12" s="4" t="s">
        <v>18</v>
      </c>
      <c r="F12" s="70" t="s">
        <v>10</v>
      </c>
    </row>
    <row r="15" spans="2:8" x14ac:dyDescent="0.3">
      <c r="D15" t="s">
        <v>19</v>
      </c>
    </row>
    <row r="18" spans="2:8" x14ac:dyDescent="0.3">
      <c r="B18" s="1" t="s">
        <v>20</v>
      </c>
      <c r="C18" s="1"/>
      <c r="D18" s="1"/>
      <c r="E18" s="5"/>
      <c r="F18" s="1"/>
      <c r="G18" s="1"/>
      <c r="H18" s="1"/>
    </row>
    <row r="19" spans="2:8" x14ac:dyDescent="0.3">
      <c r="C19" s="2" t="s">
        <v>21</v>
      </c>
      <c r="D19" s="2"/>
      <c r="E19" s="6"/>
      <c r="F19" s="2"/>
      <c r="G19" s="2"/>
      <c r="H19" s="2"/>
    </row>
    <row r="20" spans="2:8" x14ac:dyDescent="0.3">
      <c r="D20" t="s">
        <v>22</v>
      </c>
      <c r="E20" s="4" t="s">
        <v>23</v>
      </c>
      <c r="F20" s="70" t="s">
        <v>10</v>
      </c>
    </row>
    <row r="21" spans="2:8" x14ac:dyDescent="0.3">
      <c r="D21" t="s">
        <v>24</v>
      </c>
      <c r="E21" s="4" t="s">
        <v>25</v>
      </c>
      <c r="F21" s="70" t="s">
        <v>10</v>
      </c>
    </row>
    <row r="22" spans="2:8" x14ac:dyDescent="0.3">
      <c r="D22" t="s">
        <v>26</v>
      </c>
      <c r="E22" s="4" t="s">
        <v>27</v>
      </c>
      <c r="F22" s="70" t="s">
        <v>10</v>
      </c>
    </row>
    <row r="23" spans="2:8" x14ac:dyDescent="0.3">
      <c r="D23" t="s">
        <v>26</v>
      </c>
      <c r="E23" s="4" t="s">
        <v>28</v>
      </c>
      <c r="F23" s="40" t="s">
        <v>10</v>
      </c>
    </row>
    <row r="24" spans="2:8" x14ac:dyDescent="0.3">
      <c r="D24" t="s">
        <v>29</v>
      </c>
      <c r="E24" s="4" t="s">
        <v>30</v>
      </c>
    </row>
    <row r="25" spans="2:8" x14ac:dyDescent="0.3">
      <c r="D25" t="s">
        <v>31</v>
      </c>
      <c r="E25" s="4" t="s">
        <v>32</v>
      </c>
      <c r="F25" s="40" t="s">
        <v>10</v>
      </c>
    </row>
    <row r="26" spans="2:8" x14ac:dyDescent="0.3">
      <c r="D26" t="s">
        <v>33</v>
      </c>
      <c r="E26" s="4" t="s">
        <v>34</v>
      </c>
      <c r="F26" s="40" t="s">
        <v>35</v>
      </c>
    </row>
    <row r="27" spans="2:8" x14ac:dyDescent="0.3">
      <c r="D27" t="s">
        <v>33</v>
      </c>
      <c r="E27" s="4" t="s">
        <v>36</v>
      </c>
      <c r="F27" s="40" t="s">
        <v>35</v>
      </c>
    </row>
    <row r="28" spans="2:8" x14ac:dyDescent="0.3">
      <c r="D28" t="s">
        <v>37</v>
      </c>
      <c r="E28" s="4" t="s">
        <v>38</v>
      </c>
    </row>
    <row r="34" spans="2:8" x14ac:dyDescent="0.3">
      <c r="C34" s="2" t="s">
        <v>39</v>
      </c>
      <c r="D34" s="2"/>
      <c r="E34" s="6"/>
      <c r="F34" s="2"/>
      <c r="G34" s="2"/>
      <c r="H34" s="2"/>
    </row>
    <row r="37" spans="2:8" x14ac:dyDescent="0.3">
      <c r="C37" t="s">
        <v>40</v>
      </c>
    </row>
    <row r="39" spans="2:8" x14ac:dyDescent="0.3">
      <c r="C39" s="2" t="s">
        <v>41</v>
      </c>
      <c r="D39" s="2"/>
      <c r="E39" s="6"/>
      <c r="F39" s="2"/>
      <c r="G39" s="2"/>
      <c r="H39" s="2"/>
    </row>
    <row r="40" spans="2:8" x14ac:dyDescent="0.3">
      <c r="D40" t="s">
        <v>42</v>
      </c>
      <c r="E40" s="4" t="s">
        <v>43</v>
      </c>
      <c r="F40" s="40" t="s">
        <v>35</v>
      </c>
    </row>
    <row r="41" spans="2:8" x14ac:dyDescent="0.3">
      <c r="B41" s="1" t="s">
        <v>44</v>
      </c>
      <c r="C41" s="1"/>
      <c r="D41" s="1"/>
      <c r="E41" s="5"/>
      <c r="F41" s="1"/>
      <c r="G41" s="1"/>
      <c r="H41" s="1"/>
    </row>
    <row r="42" spans="2:8" x14ac:dyDescent="0.3">
      <c r="C42" t="s">
        <v>45</v>
      </c>
    </row>
    <row r="44" spans="2:8" x14ac:dyDescent="0.3">
      <c r="C44" t="s">
        <v>46</v>
      </c>
    </row>
    <row r="46" spans="2:8" x14ac:dyDescent="0.3">
      <c r="C46" t="s">
        <v>47</v>
      </c>
    </row>
    <row r="48" spans="2:8" x14ac:dyDescent="0.3">
      <c r="C48" s="34" t="s">
        <v>48</v>
      </c>
      <c r="D48" t="s">
        <v>49</v>
      </c>
    </row>
    <row r="49" spans="2:3" x14ac:dyDescent="0.3">
      <c r="C49" s="34" t="s">
        <v>50</v>
      </c>
    </row>
    <row r="50" spans="2:3" x14ac:dyDescent="0.3">
      <c r="C50" s="34"/>
    </row>
    <row r="53" spans="2:3" ht="10.199999999999999" customHeight="1" x14ac:dyDescent="0.3"/>
    <row r="54" spans="2:3" x14ac:dyDescent="0.3">
      <c r="B54" s="7"/>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60A4AD-46A9-4F3C-B425-D1E10DD912D1}">
  <dimension ref="B1:AX203"/>
  <sheetViews>
    <sheetView topLeftCell="A114" workbookViewId="0">
      <selection activeCell="AV12" sqref="AV12"/>
    </sheetView>
  </sheetViews>
  <sheetFormatPr defaultRowHeight="14.4" x14ac:dyDescent="0.3"/>
  <cols>
    <col min="16" max="16" width="23.5546875" bestFit="1" customWidth="1"/>
    <col min="17" max="17" width="16.5546875" bestFit="1" customWidth="1"/>
    <col min="19" max="20" width="10.44140625" bestFit="1" customWidth="1"/>
  </cols>
  <sheetData>
    <row r="1" spans="2:48" x14ac:dyDescent="0.3">
      <c r="E1" t="s">
        <v>1130</v>
      </c>
    </row>
    <row r="2" spans="2:48" x14ac:dyDescent="0.3">
      <c r="B2" s="15" t="s">
        <v>1131</v>
      </c>
    </row>
    <row r="3" spans="2:48" x14ac:dyDescent="0.3">
      <c r="O3" s="760" t="s">
        <v>1132</v>
      </c>
      <c r="P3" s="760"/>
      <c r="Q3" s="760"/>
      <c r="R3" s="760"/>
      <c r="S3" s="760"/>
      <c r="T3" s="760"/>
      <c r="U3" s="760"/>
      <c r="V3" s="760"/>
      <c r="W3" s="760"/>
      <c r="X3" s="760"/>
      <c r="Y3" s="760"/>
      <c r="Z3" s="760"/>
      <c r="AA3" s="210"/>
      <c r="AB3" s="210"/>
      <c r="AC3" s="210"/>
      <c r="AD3" s="210"/>
      <c r="AE3" s="210"/>
      <c r="AF3" s="761" t="s">
        <v>1133</v>
      </c>
      <c r="AG3" s="761"/>
      <c r="AH3" s="761"/>
      <c r="AI3" s="761"/>
      <c r="AJ3" s="761"/>
      <c r="AK3" s="761"/>
      <c r="AL3" s="761"/>
      <c r="AM3" s="761"/>
      <c r="AN3" s="761"/>
      <c r="AO3" s="761"/>
      <c r="AP3" s="761"/>
      <c r="AQ3" s="210"/>
      <c r="AR3" s="210"/>
    </row>
    <row r="4" spans="2:48" x14ac:dyDescent="0.3">
      <c r="E4" s="3"/>
      <c r="F4" s="3"/>
      <c r="G4" s="3"/>
      <c r="H4" s="3"/>
      <c r="I4" s="3"/>
      <c r="J4" s="3"/>
      <c r="O4" s="298"/>
      <c r="U4" t="s">
        <v>1134</v>
      </c>
      <c r="AD4" s="523"/>
      <c r="AR4" s="523"/>
    </row>
    <row r="5" spans="2:48" x14ac:dyDescent="0.3">
      <c r="O5" s="298"/>
      <c r="U5" t="s">
        <v>1135</v>
      </c>
      <c r="AD5" s="523"/>
      <c r="AR5" s="523"/>
      <c r="AV5" s="15" t="s">
        <v>1136</v>
      </c>
    </row>
    <row r="6" spans="2:48" x14ac:dyDescent="0.3">
      <c r="O6" s="298"/>
      <c r="U6" t="s">
        <v>1137</v>
      </c>
      <c r="AD6" s="523"/>
      <c r="AR6" s="523"/>
    </row>
    <row r="7" spans="2:48" x14ac:dyDescent="0.3">
      <c r="O7" s="298"/>
      <c r="U7" t="s">
        <v>1138</v>
      </c>
      <c r="AD7" s="523"/>
      <c r="AR7" s="523"/>
    </row>
    <row r="8" spans="2:48" x14ac:dyDescent="0.3">
      <c r="O8" s="298"/>
      <c r="AD8" s="523"/>
      <c r="AR8" s="523"/>
    </row>
    <row r="9" spans="2:48" x14ac:dyDescent="0.3">
      <c r="O9" s="298"/>
      <c r="AD9" s="523"/>
      <c r="AR9" s="523"/>
    </row>
    <row r="10" spans="2:48" x14ac:dyDescent="0.3">
      <c r="O10" s="298"/>
      <c r="AD10" s="523"/>
      <c r="AR10" s="523"/>
    </row>
    <row r="11" spans="2:48" x14ac:dyDescent="0.3">
      <c r="O11" s="298"/>
      <c r="AD11" s="523"/>
      <c r="AR11" s="523"/>
    </row>
    <row r="12" spans="2:48" x14ac:dyDescent="0.3">
      <c r="O12" s="298"/>
      <c r="AD12" s="523"/>
      <c r="AR12" s="523"/>
    </row>
    <row r="13" spans="2:48" x14ac:dyDescent="0.3">
      <c r="O13" s="298"/>
      <c r="AD13" s="523"/>
      <c r="AR13" s="523"/>
    </row>
    <row r="14" spans="2:48" x14ac:dyDescent="0.3">
      <c r="O14" s="298"/>
      <c r="AD14" s="523"/>
      <c r="AR14" s="523"/>
    </row>
    <row r="15" spans="2:48" x14ac:dyDescent="0.3">
      <c r="O15" s="298"/>
      <c r="AD15" s="523"/>
      <c r="AR15" s="523"/>
    </row>
    <row r="16" spans="2:48" x14ac:dyDescent="0.3">
      <c r="O16" s="298"/>
      <c r="AD16" s="523"/>
      <c r="AR16" s="523"/>
    </row>
    <row r="17" spans="15:44" x14ac:dyDescent="0.3">
      <c r="O17" s="298"/>
      <c r="AD17" s="523"/>
      <c r="AR17" s="523"/>
    </row>
    <row r="18" spans="15:44" x14ac:dyDescent="0.3">
      <c r="O18" s="298"/>
      <c r="AD18" s="523"/>
      <c r="AR18" s="523"/>
    </row>
    <row r="19" spans="15:44" x14ac:dyDescent="0.3">
      <c r="O19" s="298"/>
      <c r="AD19" s="523"/>
      <c r="AR19" s="523"/>
    </row>
    <row r="20" spans="15:44" x14ac:dyDescent="0.3">
      <c r="O20" s="298"/>
      <c r="AD20" s="523"/>
      <c r="AR20" s="523"/>
    </row>
    <row r="21" spans="15:44" x14ac:dyDescent="0.3">
      <c r="O21" s="298"/>
      <c r="AD21" s="523"/>
      <c r="AR21" s="523"/>
    </row>
    <row r="22" spans="15:44" x14ac:dyDescent="0.3">
      <c r="O22" s="298"/>
      <c r="AD22" s="523"/>
      <c r="AR22" s="523"/>
    </row>
    <row r="23" spans="15:44" x14ac:dyDescent="0.3">
      <c r="O23" s="298"/>
      <c r="AD23" s="523"/>
      <c r="AR23" s="523"/>
    </row>
    <row r="24" spans="15:44" x14ac:dyDescent="0.3">
      <c r="O24" s="298"/>
      <c r="AD24" s="523"/>
      <c r="AR24" s="523"/>
    </row>
    <row r="25" spans="15:44" x14ac:dyDescent="0.3">
      <c r="O25" s="298"/>
      <c r="AD25" s="523"/>
      <c r="AP25" s="738" t="s">
        <v>1139</v>
      </c>
      <c r="AQ25" s="738"/>
      <c r="AR25" s="762"/>
    </row>
    <row r="26" spans="15:44" x14ac:dyDescent="0.3">
      <c r="O26" s="298"/>
      <c r="AD26" s="523"/>
      <c r="AP26" s="738"/>
      <c r="AQ26" s="738"/>
      <c r="AR26" s="762"/>
    </row>
    <row r="27" spans="15:44" x14ac:dyDescent="0.3">
      <c r="O27" s="298"/>
      <c r="AD27" s="523"/>
      <c r="AP27" s="738"/>
      <c r="AQ27" s="738"/>
      <c r="AR27" s="762"/>
    </row>
    <row r="28" spans="15:44" x14ac:dyDescent="0.3">
      <c r="O28" s="298"/>
      <c r="AD28" s="523"/>
      <c r="AP28" s="738"/>
      <c r="AQ28" s="738"/>
      <c r="AR28" s="762"/>
    </row>
    <row r="29" spans="15:44" x14ac:dyDescent="0.3">
      <c r="O29" s="298"/>
      <c r="AD29" s="523"/>
      <c r="AP29" s="738"/>
      <c r="AQ29" s="738"/>
      <c r="AR29" s="762"/>
    </row>
    <row r="30" spans="15:44" x14ac:dyDescent="0.3">
      <c r="O30" s="298"/>
      <c r="P30" s="286"/>
      <c r="Q30" s="287"/>
      <c r="R30" s="288">
        <v>1</v>
      </c>
      <c r="S30" s="288">
        <v>2</v>
      </c>
      <c r="T30" s="288">
        <v>3</v>
      </c>
      <c r="U30" s="288">
        <v>4</v>
      </c>
      <c r="V30" s="289" t="s">
        <v>1140</v>
      </c>
      <c r="AD30" s="523"/>
      <c r="AP30" s="738"/>
      <c r="AQ30" s="738"/>
      <c r="AR30" s="762"/>
    </row>
    <row r="31" spans="15:44" x14ac:dyDescent="0.3">
      <c r="O31" s="298"/>
      <c r="P31" s="290" t="s">
        <v>1141</v>
      </c>
      <c r="Q31" s="16"/>
      <c r="R31" s="16"/>
      <c r="S31" s="16"/>
      <c r="T31" s="16"/>
      <c r="U31" s="16"/>
      <c r="V31" s="291">
        <v>313296</v>
      </c>
      <c r="AD31" s="523"/>
      <c r="AP31" s="738"/>
      <c r="AQ31" s="738"/>
      <c r="AR31" s="762"/>
    </row>
    <row r="32" spans="15:44" x14ac:dyDescent="0.3">
      <c r="O32" s="298"/>
      <c r="P32" s="290" t="s">
        <v>1044</v>
      </c>
      <c r="Q32" s="16" t="s">
        <v>1142</v>
      </c>
      <c r="R32" s="16">
        <v>94.61</v>
      </c>
      <c r="S32" s="16">
        <v>7.89</v>
      </c>
      <c r="T32" s="16">
        <v>5.26</v>
      </c>
      <c r="U32" s="16"/>
      <c r="V32" s="291"/>
      <c r="AD32" s="523"/>
      <c r="AP32" s="738"/>
      <c r="AQ32" s="738"/>
      <c r="AR32" s="762"/>
    </row>
    <row r="33" spans="15:44" x14ac:dyDescent="0.3">
      <c r="O33" s="298"/>
      <c r="P33" s="292" t="s">
        <v>1143</v>
      </c>
      <c r="Q33" s="16" t="s">
        <v>1144</v>
      </c>
      <c r="R33" s="16"/>
      <c r="S33" s="16">
        <v>0.4</v>
      </c>
      <c r="T33" s="16">
        <v>0.6</v>
      </c>
      <c r="U33" s="16"/>
      <c r="V33" s="291">
        <v>83940</v>
      </c>
      <c r="AD33" s="523"/>
      <c r="AP33" s="738"/>
      <c r="AQ33" s="738"/>
      <c r="AR33" s="762"/>
    </row>
    <row r="34" spans="15:44" x14ac:dyDescent="0.3">
      <c r="O34" s="298"/>
      <c r="P34" s="292" t="s">
        <v>1145</v>
      </c>
      <c r="Q34" s="16" t="s">
        <v>1144</v>
      </c>
      <c r="R34" s="16"/>
      <c r="S34" s="16">
        <v>0.17</v>
      </c>
      <c r="T34" s="16">
        <v>0.26</v>
      </c>
      <c r="U34" s="16"/>
      <c r="V34" s="291">
        <v>1440</v>
      </c>
      <c r="AD34" s="523"/>
      <c r="AP34" s="738"/>
      <c r="AQ34" s="738"/>
      <c r="AR34" s="762"/>
    </row>
    <row r="35" spans="15:44" x14ac:dyDescent="0.3">
      <c r="O35" s="298"/>
      <c r="P35" s="292" t="s">
        <v>1146</v>
      </c>
      <c r="Q35" s="16" t="s">
        <v>1147</v>
      </c>
      <c r="R35" s="16">
        <v>6.625</v>
      </c>
      <c r="S35" s="16"/>
      <c r="T35" s="16"/>
      <c r="U35" s="16"/>
      <c r="V35" s="291">
        <v>133</v>
      </c>
      <c r="AD35" s="523"/>
      <c r="AP35" s="738"/>
      <c r="AQ35" s="738"/>
      <c r="AR35" s="762"/>
    </row>
    <row r="36" spans="15:44" x14ac:dyDescent="0.3">
      <c r="O36" s="298"/>
      <c r="P36" s="290" t="s">
        <v>1141</v>
      </c>
      <c r="Q36" s="16"/>
      <c r="R36" s="16"/>
      <c r="S36" s="16"/>
      <c r="T36" s="16"/>
      <c r="U36" s="16"/>
      <c r="V36" s="291">
        <v>85513</v>
      </c>
      <c r="AD36" s="523"/>
      <c r="AP36" s="738"/>
      <c r="AQ36" s="738"/>
      <c r="AR36" s="762"/>
    </row>
    <row r="37" spans="15:44" x14ac:dyDescent="0.3">
      <c r="O37" s="298"/>
      <c r="P37" s="292" t="s">
        <v>1148</v>
      </c>
      <c r="Q37" s="16" t="s">
        <v>1149</v>
      </c>
      <c r="R37" s="16">
        <v>12.38</v>
      </c>
      <c r="S37" s="16">
        <v>2.78</v>
      </c>
      <c r="T37" s="16">
        <v>4.18</v>
      </c>
      <c r="U37" s="16"/>
      <c r="V37" s="291"/>
      <c r="AD37" s="523"/>
      <c r="AP37" s="738"/>
      <c r="AQ37" s="738"/>
      <c r="AR37" s="762"/>
    </row>
    <row r="38" spans="15:44" x14ac:dyDescent="0.3">
      <c r="O38" s="298"/>
      <c r="P38" s="292" t="s">
        <v>1150</v>
      </c>
      <c r="Q38" s="16" t="s">
        <v>1149</v>
      </c>
      <c r="R38" s="16"/>
      <c r="S38" s="16"/>
      <c r="T38" s="16">
        <v>0.67</v>
      </c>
      <c r="U38" s="16"/>
      <c r="V38" s="291">
        <v>199103</v>
      </c>
      <c r="AD38" s="523"/>
      <c r="AP38" s="738"/>
      <c r="AQ38" s="738"/>
      <c r="AR38" s="762"/>
    </row>
    <row r="39" spans="15:44" x14ac:dyDescent="0.3">
      <c r="O39" s="298"/>
      <c r="P39" s="290" t="s">
        <v>1151</v>
      </c>
      <c r="Q39" s="16"/>
      <c r="R39" s="16"/>
      <c r="S39" s="16"/>
      <c r="T39" s="16"/>
      <c r="U39" s="16"/>
      <c r="V39" s="291">
        <v>14372</v>
      </c>
      <c r="AD39" s="523"/>
      <c r="AP39" s="738"/>
      <c r="AQ39" s="738"/>
      <c r="AR39" s="762"/>
    </row>
    <row r="40" spans="15:44" x14ac:dyDescent="0.3">
      <c r="O40" s="298"/>
      <c r="P40" s="292" t="s">
        <v>1152</v>
      </c>
      <c r="Q40" s="16" t="s">
        <v>1144</v>
      </c>
      <c r="R40" s="16"/>
      <c r="S40" s="16"/>
      <c r="T40" s="16">
        <v>4.7E-2</v>
      </c>
      <c r="U40" s="16"/>
      <c r="V40" s="291">
        <v>14938</v>
      </c>
      <c r="AD40" s="523"/>
      <c r="AP40" s="738"/>
      <c r="AQ40" s="738"/>
      <c r="AR40" s="762"/>
    </row>
    <row r="41" spans="15:44" x14ac:dyDescent="0.3">
      <c r="O41" s="298"/>
      <c r="P41" s="292" t="s">
        <v>1153</v>
      </c>
      <c r="Q41" s="16" t="s">
        <v>1144</v>
      </c>
      <c r="R41" s="16"/>
      <c r="S41" s="16"/>
      <c r="T41" s="16">
        <v>1.528</v>
      </c>
      <c r="U41" s="16"/>
      <c r="V41" s="291">
        <v>228413</v>
      </c>
      <c r="AD41" s="523"/>
      <c r="AP41" s="738"/>
      <c r="AQ41" s="738"/>
      <c r="AR41" s="762"/>
    </row>
    <row r="42" spans="15:44" x14ac:dyDescent="0.3">
      <c r="O42" s="298"/>
      <c r="P42" s="290" t="s">
        <v>166</v>
      </c>
      <c r="Q42" s="16"/>
      <c r="R42" s="16"/>
      <c r="S42" s="16"/>
      <c r="T42" s="16"/>
      <c r="U42" s="16"/>
      <c r="V42" s="291"/>
      <c r="AD42" s="523"/>
      <c r="AR42" s="523"/>
    </row>
    <row r="43" spans="15:44" x14ac:dyDescent="0.3">
      <c r="O43" s="298"/>
      <c r="P43" s="292" t="s">
        <v>1154</v>
      </c>
      <c r="Q43" s="16" t="s">
        <v>1147</v>
      </c>
      <c r="R43" s="16">
        <v>5.6000000000000001E-2</v>
      </c>
      <c r="S43" s="16">
        <v>0.24399999999999999</v>
      </c>
      <c r="T43" s="16"/>
      <c r="U43" s="16"/>
      <c r="V43" s="291">
        <v>98028</v>
      </c>
      <c r="AD43" s="523"/>
      <c r="AR43" s="523"/>
    </row>
    <row r="44" spans="15:44" x14ac:dyDescent="0.3">
      <c r="O44" s="298"/>
      <c r="P44" s="292" t="s">
        <v>1155</v>
      </c>
      <c r="Q44" s="16" t="s">
        <v>1156</v>
      </c>
      <c r="R44" s="16">
        <v>7.2999999999999995E-2</v>
      </c>
      <c r="S44" s="16"/>
      <c r="T44" s="16"/>
      <c r="U44" s="16"/>
      <c r="V44" s="291">
        <v>2966</v>
      </c>
      <c r="AD44" s="523"/>
      <c r="AR44" s="523"/>
    </row>
    <row r="45" spans="15:44" x14ac:dyDescent="0.3">
      <c r="O45" s="298"/>
      <c r="P45" s="292" t="s">
        <v>1157</v>
      </c>
      <c r="Q45" s="16" t="s">
        <v>1142</v>
      </c>
      <c r="R45" s="16">
        <v>24.64</v>
      </c>
      <c r="S45" s="16">
        <v>7.89</v>
      </c>
      <c r="T45" s="16">
        <v>5.26</v>
      </c>
      <c r="U45" s="16"/>
      <c r="V45" s="291">
        <v>2424</v>
      </c>
      <c r="AD45" s="523"/>
      <c r="AR45" s="523"/>
    </row>
    <row r="46" spans="15:44" x14ac:dyDescent="0.3">
      <c r="O46" s="298"/>
      <c r="P46" s="293" t="s">
        <v>1158</v>
      </c>
      <c r="Q46" s="16"/>
      <c r="R46" s="16"/>
      <c r="S46" s="16"/>
      <c r="T46" s="16"/>
      <c r="U46" s="16"/>
      <c r="V46" s="291"/>
      <c r="AD46" s="523"/>
      <c r="AR46" s="523"/>
    </row>
    <row r="47" spans="15:44" x14ac:dyDescent="0.3">
      <c r="O47" s="298"/>
      <c r="P47" s="294" t="s">
        <v>920</v>
      </c>
      <c r="Q47" s="16" t="s">
        <v>1065</v>
      </c>
      <c r="R47" s="16">
        <v>4.2687999999999997</v>
      </c>
      <c r="S47" s="16">
        <v>0.43230000000000002</v>
      </c>
      <c r="T47" s="16">
        <v>0.72470000000000001</v>
      </c>
      <c r="U47" s="16">
        <v>3.6133999999999999</v>
      </c>
      <c r="V47" s="291">
        <v>9.0391999999999992</v>
      </c>
      <c r="AD47" s="523"/>
      <c r="AR47" s="523"/>
    </row>
    <row r="48" spans="15:44" x14ac:dyDescent="0.3">
      <c r="O48" s="298"/>
      <c r="P48" s="294" t="s">
        <v>1159</v>
      </c>
      <c r="Q48" s="16" t="s">
        <v>1160</v>
      </c>
      <c r="R48" s="16">
        <v>1.915</v>
      </c>
      <c r="S48" s="16">
        <v>0.14799999999999999</v>
      </c>
      <c r="T48" s="16">
        <v>0.23400000000000001</v>
      </c>
      <c r="U48" s="16">
        <v>7.577</v>
      </c>
      <c r="V48" s="291">
        <v>9.8740000000000006</v>
      </c>
      <c r="AD48" s="523"/>
      <c r="AR48" s="523"/>
    </row>
    <row r="49" spans="15:44" x14ac:dyDescent="0.3">
      <c r="O49" s="298"/>
      <c r="P49" s="294" t="s">
        <v>1161</v>
      </c>
      <c r="Q49" s="16" t="s">
        <v>1162</v>
      </c>
      <c r="R49" s="16">
        <v>1.1900000000000001E-2</v>
      </c>
      <c r="S49" s="16">
        <v>1.8899999999999999E-5</v>
      </c>
      <c r="T49" s="16">
        <v>2.4499999999999999E-5</v>
      </c>
      <c r="U49" s="16">
        <v>3.14E-3</v>
      </c>
      <c r="V49" s="291">
        <v>1.5100000000000001E-2</v>
      </c>
      <c r="AD49" s="523"/>
      <c r="AR49" s="523"/>
    </row>
    <row r="50" spans="15:44" x14ac:dyDescent="0.3">
      <c r="O50" s="298"/>
      <c r="P50" s="294" t="s">
        <v>1163</v>
      </c>
      <c r="Q50" s="16" t="s">
        <v>1164</v>
      </c>
      <c r="R50" s="16">
        <v>5.9499999999999997E-2</v>
      </c>
      <c r="S50" s="16">
        <v>1.1120000000000001</v>
      </c>
      <c r="T50" s="16">
        <v>1.669</v>
      </c>
      <c r="U50" s="16">
        <v>1.7000000000000001E-4</v>
      </c>
      <c r="V50" s="291">
        <v>2.839</v>
      </c>
      <c r="AD50" s="523"/>
      <c r="AR50" s="523"/>
    </row>
    <row r="51" spans="15:44" x14ac:dyDescent="0.3">
      <c r="O51" s="298"/>
      <c r="P51" s="294" t="s">
        <v>1165</v>
      </c>
      <c r="Q51" s="16" t="s">
        <v>1166</v>
      </c>
      <c r="R51" s="16">
        <v>0.79700000000000004</v>
      </c>
      <c r="S51" s="16">
        <v>9.9599999999999994E-2</v>
      </c>
      <c r="T51" s="16">
        <v>0.16200000000000001</v>
      </c>
      <c r="U51" s="16">
        <v>4.33</v>
      </c>
      <c r="V51" s="291">
        <v>5.3879999999999999</v>
      </c>
      <c r="AD51" s="523"/>
      <c r="AR51" s="523"/>
    </row>
    <row r="52" spans="15:44" x14ac:dyDescent="0.3">
      <c r="O52" s="298"/>
      <c r="P52" s="295" t="s">
        <v>1167</v>
      </c>
      <c r="Q52" s="296" t="s">
        <v>1168</v>
      </c>
      <c r="R52" s="296">
        <v>0.21959999999999999</v>
      </c>
      <c r="S52" s="296">
        <v>5.47E-3</v>
      </c>
      <c r="T52" s="296">
        <v>1.6899999999999998E-2</v>
      </c>
      <c r="U52" s="296">
        <v>0.12989999999999999</v>
      </c>
      <c r="V52" s="297">
        <v>0.37190000000000001</v>
      </c>
      <c r="AD52" s="523"/>
      <c r="AR52" s="523"/>
    </row>
    <row r="53" spans="15:44" x14ac:dyDescent="0.3">
      <c r="O53" s="298"/>
      <c r="AD53" s="523"/>
      <c r="AR53" s="523"/>
    </row>
    <row r="54" spans="15:44" x14ac:dyDescent="0.3">
      <c r="O54" s="298"/>
      <c r="AD54" s="523"/>
      <c r="AR54" s="523"/>
    </row>
    <row r="55" spans="15:44" x14ac:dyDescent="0.3">
      <c r="O55" s="298"/>
      <c r="AD55" s="523"/>
      <c r="AR55" s="523"/>
    </row>
    <row r="56" spans="15:44" x14ac:dyDescent="0.3">
      <c r="O56" s="298"/>
      <c r="AD56" s="523"/>
      <c r="AR56" s="523"/>
    </row>
    <row r="57" spans="15:44" x14ac:dyDescent="0.3">
      <c r="AE57" s="298"/>
      <c r="AR57" s="523"/>
    </row>
    <row r="58" spans="15:44" x14ac:dyDescent="0.3">
      <c r="AE58" s="298"/>
      <c r="AR58" s="523"/>
    </row>
    <row r="59" spans="15:44" x14ac:dyDescent="0.3">
      <c r="AE59" s="298"/>
      <c r="AR59" s="523"/>
    </row>
    <row r="60" spans="15:44" x14ac:dyDescent="0.3">
      <c r="AE60" s="298"/>
      <c r="AR60" s="523"/>
    </row>
    <row r="61" spans="15:44" x14ac:dyDescent="0.3">
      <c r="AE61" s="298"/>
      <c r="AR61" s="523"/>
    </row>
    <row r="62" spans="15:44" x14ac:dyDescent="0.3">
      <c r="AE62" s="298"/>
      <c r="AR62" s="523"/>
    </row>
    <row r="63" spans="15:44" x14ac:dyDescent="0.3">
      <c r="AE63" s="298"/>
      <c r="AR63" s="523"/>
    </row>
    <row r="64" spans="15:44" x14ac:dyDescent="0.3">
      <c r="AE64" s="298"/>
      <c r="AR64" s="523"/>
    </row>
    <row r="65" spans="31:44" x14ac:dyDescent="0.3">
      <c r="AE65" s="298"/>
      <c r="AR65" s="523"/>
    </row>
    <row r="66" spans="31:44" x14ac:dyDescent="0.3">
      <c r="AE66" s="298"/>
      <c r="AR66" s="523"/>
    </row>
    <row r="67" spans="31:44" x14ac:dyDescent="0.3">
      <c r="AE67" s="298"/>
      <c r="AR67" s="523"/>
    </row>
    <row r="68" spans="31:44" x14ac:dyDescent="0.3">
      <c r="AE68" s="298"/>
      <c r="AR68" s="523"/>
    </row>
    <row r="69" spans="31:44" x14ac:dyDescent="0.3">
      <c r="AE69" s="298"/>
      <c r="AR69" s="523"/>
    </row>
    <row r="70" spans="31:44" x14ac:dyDescent="0.3">
      <c r="AE70" s="298"/>
      <c r="AR70" s="523"/>
    </row>
    <row r="71" spans="31:44" x14ac:dyDescent="0.3">
      <c r="AE71" s="298"/>
      <c r="AR71" s="523"/>
    </row>
    <row r="72" spans="31:44" x14ac:dyDescent="0.3">
      <c r="AE72" s="298"/>
      <c r="AR72" s="523"/>
    </row>
    <row r="73" spans="31:44" x14ac:dyDescent="0.3">
      <c r="AE73" s="298"/>
      <c r="AR73" s="523"/>
    </row>
    <row r="74" spans="31:44" x14ac:dyDescent="0.3">
      <c r="AE74" s="298"/>
      <c r="AR74" s="523"/>
    </row>
    <row r="75" spans="31:44" x14ac:dyDescent="0.3">
      <c r="AE75" s="298"/>
      <c r="AR75" s="523"/>
    </row>
    <row r="76" spans="31:44" x14ac:dyDescent="0.3">
      <c r="AE76" s="298"/>
      <c r="AR76" s="523"/>
    </row>
    <row r="77" spans="31:44" x14ac:dyDescent="0.3">
      <c r="AE77" s="298"/>
      <c r="AR77" s="523"/>
    </row>
    <row r="78" spans="31:44" x14ac:dyDescent="0.3">
      <c r="AE78" s="298"/>
      <c r="AR78" s="523"/>
    </row>
    <row r="79" spans="31:44" x14ac:dyDescent="0.3">
      <c r="AE79" s="298"/>
      <c r="AR79" s="523"/>
    </row>
    <row r="80" spans="31:44" x14ac:dyDescent="0.3">
      <c r="AE80" s="298"/>
      <c r="AR80" s="523"/>
    </row>
    <row r="81" spans="31:50" x14ac:dyDescent="0.3">
      <c r="AE81" s="298"/>
      <c r="AR81" s="523"/>
    </row>
    <row r="82" spans="31:50" x14ac:dyDescent="0.3">
      <c r="AE82" s="298"/>
      <c r="AR82" s="523"/>
    </row>
    <row r="83" spans="31:50" x14ac:dyDescent="0.3">
      <c r="AE83" s="298"/>
      <c r="AR83" s="523"/>
    </row>
    <row r="84" spans="31:50" x14ac:dyDescent="0.3">
      <c r="AE84" s="298"/>
      <c r="AR84" s="523"/>
    </row>
    <row r="85" spans="31:50" x14ac:dyDescent="0.3">
      <c r="AE85" s="298"/>
      <c r="AR85" s="523"/>
    </row>
    <row r="86" spans="31:50" x14ac:dyDescent="0.3">
      <c r="AE86" s="298"/>
      <c r="AR86" s="523"/>
    </row>
    <row r="87" spans="31:50" x14ac:dyDescent="0.3">
      <c r="AE87" s="298"/>
      <c r="AR87" s="523"/>
    </row>
    <row r="88" spans="31:50" ht="15" customHeight="1" x14ac:dyDescent="0.3">
      <c r="AE88" s="298"/>
      <c r="AR88" s="523"/>
      <c r="AS88" s="759" t="s">
        <v>1169</v>
      </c>
      <c r="AT88" s="738"/>
      <c r="AU88" s="738"/>
      <c r="AV88" s="738"/>
      <c r="AW88" s="738"/>
      <c r="AX88" s="738"/>
    </row>
    <row r="89" spans="31:50" x14ac:dyDescent="0.3">
      <c r="AE89" s="298"/>
      <c r="AR89" s="523"/>
      <c r="AS89" s="759"/>
      <c r="AT89" s="738"/>
      <c r="AU89" s="738"/>
      <c r="AV89" s="738"/>
      <c r="AW89" s="738"/>
      <c r="AX89" s="738"/>
    </row>
    <row r="90" spans="31:50" x14ac:dyDescent="0.3">
      <c r="AE90" s="298"/>
      <c r="AR90" s="523"/>
      <c r="AS90" s="759"/>
      <c r="AT90" s="738"/>
      <c r="AU90" s="738"/>
      <c r="AV90" s="738"/>
      <c r="AW90" s="738"/>
      <c r="AX90" s="738"/>
    </row>
    <row r="91" spans="31:50" x14ac:dyDescent="0.3">
      <c r="AE91" s="298"/>
      <c r="AR91" s="523"/>
      <c r="AS91" s="759"/>
      <c r="AT91" s="738"/>
      <c r="AU91" s="738"/>
      <c r="AV91" s="738"/>
      <c r="AW91" s="738"/>
      <c r="AX91" s="738"/>
    </row>
    <row r="92" spans="31:50" x14ac:dyDescent="0.3">
      <c r="AE92" s="298"/>
      <c r="AR92" s="523"/>
      <c r="AS92" s="759"/>
      <c r="AT92" s="738"/>
      <c r="AU92" s="738"/>
      <c r="AV92" s="738"/>
      <c r="AW92" s="738"/>
      <c r="AX92" s="738"/>
    </row>
    <row r="93" spans="31:50" x14ac:dyDescent="0.3">
      <c r="AE93" s="298"/>
      <c r="AR93" s="523"/>
      <c r="AS93" s="759"/>
      <c r="AT93" s="738"/>
      <c r="AU93" s="738"/>
      <c r="AV93" s="738"/>
      <c r="AW93" s="738"/>
      <c r="AX93" s="738"/>
    </row>
    <row r="94" spans="31:50" x14ac:dyDescent="0.3">
      <c r="AE94" s="298"/>
      <c r="AR94" s="523"/>
      <c r="AS94" s="759"/>
      <c r="AT94" s="738"/>
      <c r="AU94" s="738"/>
      <c r="AV94" s="738"/>
      <c r="AW94" s="738"/>
      <c r="AX94" s="738"/>
    </row>
    <row r="95" spans="31:50" x14ac:dyDescent="0.3">
      <c r="AE95" s="298"/>
      <c r="AR95" s="523"/>
      <c r="AS95" s="759"/>
      <c r="AT95" s="738"/>
      <c r="AU95" s="738"/>
      <c r="AV95" s="738"/>
      <c r="AW95" s="738"/>
      <c r="AX95" s="738"/>
    </row>
    <row r="96" spans="31:50" x14ac:dyDescent="0.3">
      <c r="AE96" s="298"/>
      <c r="AR96" s="523"/>
      <c r="AS96" s="759"/>
      <c r="AT96" s="738"/>
      <c r="AU96" s="738"/>
      <c r="AV96" s="738"/>
      <c r="AW96" s="738"/>
      <c r="AX96" s="738"/>
    </row>
    <row r="97" spans="3:50" x14ac:dyDescent="0.3">
      <c r="AE97" s="298"/>
      <c r="AR97" s="523"/>
      <c r="AS97" s="759"/>
      <c r="AT97" s="738"/>
      <c r="AU97" s="738"/>
      <c r="AV97" s="738"/>
      <c r="AW97" s="738"/>
      <c r="AX97" s="738"/>
    </row>
    <row r="98" spans="3:50" x14ac:dyDescent="0.3">
      <c r="AE98" s="298"/>
      <c r="AR98" s="523"/>
    </row>
    <row r="99" spans="3:50" x14ac:dyDescent="0.3">
      <c r="AE99" s="298"/>
      <c r="AR99" s="523"/>
    </row>
    <row r="100" spans="3:50" x14ac:dyDescent="0.3">
      <c r="AE100" s="298"/>
      <c r="AR100" s="523"/>
    </row>
    <row r="101" spans="3:50" x14ac:dyDescent="0.3">
      <c r="AE101" s="298"/>
      <c r="AR101" s="523"/>
    </row>
    <row r="102" spans="3:50" x14ac:dyDescent="0.3">
      <c r="AE102" s="298"/>
      <c r="AR102" s="523"/>
    </row>
    <row r="103" spans="3:50" x14ac:dyDescent="0.3">
      <c r="AE103" s="298"/>
      <c r="AR103" s="523"/>
    </row>
    <row r="104" spans="3:50" x14ac:dyDescent="0.3">
      <c r="AE104" s="298"/>
      <c r="AR104" s="523"/>
    </row>
    <row r="105" spans="3:50" x14ac:dyDescent="0.3">
      <c r="AE105" s="298"/>
      <c r="AR105" s="523"/>
    </row>
    <row r="106" spans="3:50" x14ac:dyDescent="0.3">
      <c r="AE106" s="298"/>
      <c r="AR106" s="523"/>
    </row>
    <row r="107" spans="3:50" x14ac:dyDescent="0.3">
      <c r="AE107" s="298"/>
      <c r="AR107" s="523"/>
    </row>
    <row r="108" spans="3:50" x14ac:dyDescent="0.3">
      <c r="AE108" s="298"/>
      <c r="AR108" s="523"/>
    </row>
    <row r="109" spans="3:50" x14ac:dyDescent="0.3">
      <c r="AE109" s="298"/>
      <c r="AR109" s="523"/>
    </row>
    <row r="110" spans="3:50" x14ac:dyDescent="0.3">
      <c r="AE110" s="298"/>
      <c r="AR110" s="523"/>
    </row>
    <row r="111" spans="3:50" x14ac:dyDescent="0.3">
      <c r="AE111" s="298"/>
      <c r="AR111" s="523"/>
    </row>
    <row r="112" spans="3:50" x14ac:dyDescent="0.3">
      <c r="C112" t="s">
        <v>1170</v>
      </c>
      <c r="AE112" s="298"/>
      <c r="AR112" s="523"/>
    </row>
    <row r="113" spans="31:44" x14ac:dyDescent="0.3">
      <c r="AE113" s="298"/>
      <c r="AR113" s="523"/>
    </row>
    <row r="114" spans="31:44" x14ac:dyDescent="0.3">
      <c r="AE114" s="298"/>
      <c r="AR114" s="523"/>
    </row>
    <row r="115" spans="31:44" x14ac:dyDescent="0.3">
      <c r="AE115" s="298"/>
      <c r="AR115" s="523"/>
    </row>
    <row r="116" spans="31:44" x14ac:dyDescent="0.3">
      <c r="AE116" s="298"/>
      <c r="AR116" s="523"/>
    </row>
    <row r="117" spans="31:44" x14ac:dyDescent="0.3">
      <c r="AE117" s="298"/>
      <c r="AR117" s="523"/>
    </row>
    <row r="118" spans="31:44" x14ac:dyDescent="0.3">
      <c r="AE118" s="298"/>
      <c r="AR118" s="523"/>
    </row>
    <row r="119" spans="31:44" x14ac:dyDescent="0.3">
      <c r="AE119" s="298"/>
      <c r="AR119" s="523"/>
    </row>
    <row r="120" spans="31:44" x14ac:dyDescent="0.3">
      <c r="AE120" s="298"/>
      <c r="AR120" s="523"/>
    </row>
    <row r="121" spans="31:44" x14ac:dyDescent="0.3">
      <c r="AE121" s="298"/>
      <c r="AR121" s="523"/>
    </row>
    <row r="122" spans="31:44" x14ac:dyDescent="0.3">
      <c r="AE122" s="298"/>
      <c r="AR122" s="523"/>
    </row>
    <row r="123" spans="31:44" x14ac:dyDescent="0.3">
      <c r="AE123" s="298"/>
      <c r="AR123" s="523"/>
    </row>
    <row r="124" spans="31:44" x14ac:dyDescent="0.3">
      <c r="AE124" s="298"/>
      <c r="AR124" s="523"/>
    </row>
    <row r="125" spans="31:44" x14ac:dyDescent="0.3">
      <c r="AE125" s="298"/>
      <c r="AR125" s="523"/>
    </row>
    <row r="126" spans="31:44" x14ac:dyDescent="0.3">
      <c r="AE126" s="298"/>
      <c r="AR126" s="523"/>
    </row>
    <row r="127" spans="31:44" x14ac:dyDescent="0.3">
      <c r="AE127" s="298"/>
      <c r="AR127" s="523"/>
    </row>
    <row r="128" spans="31:44" x14ac:dyDescent="0.3">
      <c r="AE128" s="298"/>
      <c r="AR128" s="523"/>
    </row>
    <row r="129" spans="31:49" x14ac:dyDescent="0.3">
      <c r="AE129" s="298"/>
      <c r="AR129" s="523"/>
    </row>
    <row r="130" spans="31:49" x14ac:dyDescent="0.3">
      <c r="AE130" s="298"/>
      <c r="AR130" s="523"/>
    </row>
    <row r="131" spans="31:49" x14ac:dyDescent="0.3">
      <c r="AE131" s="298"/>
      <c r="AR131" s="523"/>
      <c r="AS131" s="759" t="s">
        <v>1171</v>
      </c>
      <c r="AT131" s="738"/>
      <c r="AU131" s="738"/>
      <c r="AV131" s="738"/>
      <c r="AW131" s="738"/>
    </row>
    <row r="132" spans="31:49" x14ac:dyDescent="0.3">
      <c r="AE132" s="298"/>
      <c r="AR132" s="523"/>
      <c r="AS132" s="759"/>
      <c r="AT132" s="738"/>
      <c r="AU132" s="738"/>
      <c r="AV132" s="738"/>
      <c r="AW132" s="738"/>
    </row>
    <row r="133" spans="31:49" x14ac:dyDescent="0.3">
      <c r="AE133" s="298"/>
      <c r="AR133" s="523"/>
      <c r="AS133" s="759"/>
      <c r="AT133" s="738"/>
      <c r="AU133" s="738"/>
      <c r="AV133" s="738"/>
      <c r="AW133" s="738"/>
    </row>
    <row r="134" spans="31:49" x14ac:dyDescent="0.3">
      <c r="AE134" s="298"/>
      <c r="AR134" s="523"/>
      <c r="AS134" s="759"/>
      <c r="AT134" s="738"/>
      <c r="AU134" s="738"/>
      <c r="AV134" s="738"/>
      <c r="AW134" s="738"/>
    </row>
    <row r="135" spans="31:49" x14ac:dyDescent="0.3">
      <c r="AE135" s="298"/>
      <c r="AR135" s="523"/>
      <c r="AS135" s="759"/>
      <c r="AT135" s="738"/>
      <c r="AU135" s="738"/>
      <c r="AV135" s="738"/>
      <c r="AW135" s="738"/>
    </row>
    <row r="136" spans="31:49" x14ac:dyDescent="0.3">
      <c r="AE136" s="298"/>
      <c r="AR136" s="523"/>
      <c r="AS136" s="759"/>
      <c r="AT136" s="738"/>
      <c r="AU136" s="738"/>
      <c r="AV136" s="738"/>
      <c r="AW136" s="738"/>
    </row>
    <row r="137" spans="31:49" x14ac:dyDescent="0.3">
      <c r="AE137" s="298"/>
      <c r="AR137" s="523"/>
      <c r="AS137" s="759"/>
      <c r="AT137" s="738"/>
      <c r="AU137" s="738"/>
      <c r="AV137" s="738"/>
      <c r="AW137" s="738"/>
    </row>
    <row r="138" spans="31:49" x14ac:dyDescent="0.3">
      <c r="AE138" s="298"/>
      <c r="AR138" s="523"/>
      <c r="AS138" s="759"/>
      <c r="AT138" s="738"/>
      <c r="AU138" s="738"/>
      <c r="AV138" s="738"/>
      <c r="AW138" s="738"/>
    </row>
    <row r="139" spans="31:49" x14ac:dyDescent="0.3">
      <c r="AE139" s="298"/>
      <c r="AR139" s="523"/>
      <c r="AS139" s="759"/>
      <c r="AT139" s="738"/>
      <c r="AU139" s="738"/>
      <c r="AV139" s="738"/>
      <c r="AW139" s="738"/>
    </row>
    <row r="140" spans="31:49" x14ac:dyDescent="0.3">
      <c r="AE140" s="298"/>
      <c r="AR140" s="523"/>
      <c r="AS140" s="759"/>
      <c r="AT140" s="738"/>
      <c r="AU140" s="738"/>
      <c r="AV140" s="738"/>
      <c r="AW140" s="738"/>
    </row>
    <row r="141" spans="31:49" x14ac:dyDescent="0.3">
      <c r="AE141" s="298"/>
      <c r="AR141" s="523"/>
      <c r="AS141" s="759"/>
      <c r="AT141" s="738"/>
      <c r="AU141" s="738"/>
      <c r="AV141" s="738"/>
      <c r="AW141" s="738"/>
    </row>
    <row r="142" spans="31:49" x14ac:dyDescent="0.3">
      <c r="AE142" s="298"/>
      <c r="AR142" s="523"/>
      <c r="AS142" s="759"/>
      <c r="AT142" s="738"/>
      <c r="AU142" s="738"/>
      <c r="AV142" s="738"/>
      <c r="AW142" s="738"/>
    </row>
    <row r="143" spans="31:49" x14ac:dyDescent="0.3">
      <c r="AE143" s="298"/>
      <c r="AR143" s="523"/>
      <c r="AS143" s="759"/>
      <c r="AT143" s="738"/>
      <c r="AU143" s="738"/>
      <c r="AV143" s="738"/>
      <c r="AW143" s="738"/>
    </row>
    <row r="144" spans="31:49" x14ac:dyDescent="0.3">
      <c r="AE144" s="298"/>
      <c r="AR144" s="523"/>
      <c r="AS144" s="759"/>
      <c r="AT144" s="738"/>
      <c r="AU144" s="738"/>
      <c r="AV144" s="738"/>
      <c r="AW144" s="738"/>
    </row>
    <row r="145" spans="31:49" x14ac:dyDescent="0.3">
      <c r="AE145" s="298"/>
      <c r="AR145" s="523"/>
      <c r="AS145" s="759"/>
      <c r="AT145" s="738"/>
      <c r="AU145" s="738"/>
      <c r="AV145" s="738"/>
      <c r="AW145" s="738"/>
    </row>
    <row r="146" spans="31:49" x14ac:dyDescent="0.3">
      <c r="AE146" s="298"/>
      <c r="AR146" s="523"/>
      <c r="AS146" s="759"/>
      <c r="AT146" s="738"/>
      <c r="AU146" s="738"/>
      <c r="AV146" s="738"/>
      <c r="AW146" s="738"/>
    </row>
    <row r="147" spans="31:49" x14ac:dyDescent="0.3">
      <c r="AE147" s="298"/>
      <c r="AR147" s="523"/>
      <c r="AS147" s="759"/>
      <c r="AT147" s="738"/>
      <c r="AU147" s="738"/>
      <c r="AV147" s="738"/>
      <c r="AW147" s="738"/>
    </row>
    <row r="148" spans="31:49" x14ac:dyDescent="0.3">
      <c r="AE148" s="298"/>
      <c r="AR148" s="523"/>
      <c r="AS148" s="759"/>
      <c r="AT148" s="738"/>
      <c r="AU148" s="738"/>
      <c r="AV148" s="738"/>
      <c r="AW148" s="738"/>
    </row>
    <row r="149" spans="31:49" x14ac:dyDescent="0.3">
      <c r="AE149" s="298"/>
      <c r="AR149" s="523"/>
      <c r="AS149" s="759"/>
      <c r="AT149" s="738"/>
      <c r="AU149" s="738"/>
      <c r="AV149" s="738"/>
      <c r="AW149" s="738"/>
    </row>
    <row r="150" spans="31:49" x14ac:dyDescent="0.3">
      <c r="AE150" s="298"/>
      <c r="AR150" s="523"/>
      <c r="AS150" s="759"/>
      <c r="AT150" s="738"/>
      <c r="AU150" s="738"/>
      <c r="AV150" s="738"/>
      <c r="AW150" s="738"/>
    </row>
    <row r="151" spans="31:49" x14ac:dyDescent="0.3">
      <c r="AE151" s="298"/>
      <c r="AR151" s="523"/>
    </row>
    <row r="152" spans="31:49" x14ac:dyDescent="0.3">
      <c r="AE152" s="298"/>
      <c r="AR152" s="523"/>
    </row>
    <row r="153" spans="31:49" x14ac:dyDescent="0.3">
      <c r="AE153" s="298"/>
      <c r="AR153" s="523"/>
    </row>
    <row r="154" spans="31:49" x14ac:dyDescent="0.3">
      <c r="AE154" s="298"/>
      <c r="AR154" s="523"/>
    </row>
    <row r="155" spans="31:49" x14ac:dyDescent="0.3">
      <c r="AE155" s="298"/>
      <c r="AR155" s="523"/>
    </row>
    <row r="156" spans="31:49" x14ac:dyDescent="0.3">
      <c r="AE156" s="298"/>
      <c r="AR156" s="523"/>
    </row>
    <row r="157" spans="31:49" x14ac:dyDescent="0.3">
      <c r="AE157" s="298"/>
      <c r="AR157" s="523"/>
      <c r="AS157" s="759" t="s">
        <v>1172</v>
      </c>
      <c r="AT157" s="738"/>
      <c r="AU157" s="738"/>
      <c r="AV157" s="738"/>
      <c r="AW157" s="738"/>
    </row>
    <row r="158" spans="31:49" x14ac:dyDescent="0.3">
      <c r="AE158" s="298"/>
      <c r="AR158" s="523"/>
      <c r="AS158" s="759"/>
      <c r="AT158" s="738"/>
      <c r="AU158" s="738"/>
      <c r="AV158" s="738"/>
      <c r="AW158" s="738"/>
    </row>
    <row r="159" spans="31:49" x14ac:dyDescent="0.3">
      <c r="AE159" s="298"/>
      <c r="AR159" s="523"/>
      <c r="AS159" s="759"/>
      <c r="AT159" s="738"/>
      <c r="AU159" s="738"/>
      <c r="AV159" s="738"/>
      <c r="AW159" s="738"/>
    </row>
    <row r="160" spans="31:49" x14ac:dyDescent="0.3">
      <c r="AE160" s="298"/>
      <c r="AR160" s="523"/>
      <c r="AS160" s="759"/>
      <c r="AT160" s="738"/>
      <c r="AU160" s="738"/>
      <c r="AV160" s="738"/>
      <c r="AW160" s="738"/>
    </row>
    <row r="161" spans="31:49" x14ac:dyDescent="0.3">
      <c r="AE161" s="298"/>
      <c r="AR161" s="523"/>
      <c r="AS161" s="759"/>
      <c r="AT161" s="738"/>
      <c r="AU161" s="738"/>
      <c r="AV161" s="738"/>
      <c r="AW161" s="738"/>
    </row>
    <row r="162" spans="31:49" x14ac:dyDescent="0.3">
      <c r="AE162" s="298"/>
      <c r="AR162" s="523"/>
      <c r="AS162" s="759"/>
      <c r="AT162" s="738"/>
      <c r="AU162" s="738"/>
      <c r="AV162" s="738"/>
      <c r="AW162" s="738"/>
    </row>
    <row r="163" spans="31:49" x14ac:dyDescent="0.3">
      <c r="AE163" s="298"/>
      <c r="AR163" s="523"/>
      <c r="AS163" s="759"/>
      <c r="AT163" s="738"/>
      <c r="AU163" s="738"/>
      <c r="AV163" s="738"/>
      <c r="AW163" s="738"/>
    </row>
    <row r="164" spans="31:49" x14ac:dyDescent="0.3">
      <c r="AE164" s="298"/>
      <c r="AR164" s="523"/>
      <c r="AS164" s="759"/>
      <c r="AT164" s="738"/>
      <c r="AU164" s="738"/>
      <c r="AV164" s="738"/>
      <c r="AW164" s="738"/>
    </row>
    <row r="165" spans="31:49" x14ac:dyDescent="0.3">
      <c r="AE165" s="298"/>
      <c r="AR165" s="523"/>
      <c r="AS165" s="759"/>
      <c r="AT165" s="738"/>
      <c r="AU165" s="738"/>
      <c r="AV165" s="738"/>
      <c r="AW165" s="738"/>
    </row>
    <row r="166" spans="31:49" x14ac:dyDescent="0.3">
      <c r="AE166" s="298"/>
      <c r="AR166" s="523"/>
      <c r="AS166" s="759"/>
      <c r="AT166" s="738"/>
      <c r="AU166" s="738"/>
      <c r="AV166" s="738"/>
      <c r="AW166" s="738"/>
    </row>
    <row r="167" spans="31:49" x14ac:dyDescent="0.3">
      <c r="AE167" s="298"/>
      <c r="AR167" s="523"/>
      <c r="AS167" s="759"/>
      <c r="AT167" s="738"/>
      <c r="AU167" s="738"/>
      <c r="AV167" s="738"/>
      <c r="AW167" s="738"/>
    </row>
    <row r="168" spans="31:49" x14ac:dyDescent="0.3">
      <c r="AE168" s="298"/>
      <c r="AR168" s="523"/>
      <c r="AS168" s="759"/>
      <c r="AT168" s="738"/>
      <c r="AU168" s="738"/>
      <c r="AV168" s="738"/>
      <c r="AW168" s="738"/>
    </row>
    <row r="169" spans="31:49" x14ac:dyDescent="0.3">
      <c r="AE169" s="298"/>
      <c r="AR169" s="523"/>
      <c r="AS169" s="759"/>
      <c r="AT169" s="738"/>
      <c r="AU169" s="738"/>
      <c r="AV169" s="738"/>
      <c r="AW169" s="738"/>
    </row>
    <row r="170" spans="31:49" x14ac:dyDescent="0.3">
      <c r="AE170" s="298"/>
      <c r="AR170" s="523"/>
    </row>
    <row r="171" spans="31:49" x14ac:dyDescent="0.3">
      <c r="AE171" s="298"/>
      <c r="AR171" s="523"/>
    </row>
    <row r="172" spans="31:49" x14ac:dyDescent="0.3">
      <c r="AE172" s="298"/>
      <c r="AR172" s="523"/>
    </row>
    <row r="173" spans="31:49" x14ac:dyDescent="0.3">
      <c r="AE173" s="298"/>
      <c r="AR173" s="523"/>
    </row>
    <row r="174" spans="31:49" x14ac:dyDescent="0.3">
      <c r="AE174" s="298"/>
      <c r="AR174" s="523"/>
    </row>
    <row r="175" spans="31:49" x14ac:dyDescent="0.3">
      <c r="AE175" s="298"/>
      <c r="AR175" s="523"/>
    </row>
    <row r="176" spans="31:49" x14ac:dyDescent="0.3">
      <c r="AE176" s="298"/>
      <c r="AR176" s="523"/>
    </row>
    <row r="177" spans="31:44" x14ac:dyDescent="0.3">
      <c r="AE177" s="298"/>
      <c r="AR177" s="523"/>
    </row>
    <row r="178" spans="31:44" x14ac:dyDescent="0.3">
      <c r="AE178" s="298"/>
      <c r="AR178" s="523"/>
    </row>
    <row r="179" spans="31:44" x14ac:dyDescent="0.3">
      <c r="AE179" s="298"/>
      <c r="AR179" s="523"/>
    </row>
    <row r="180" spans="31:44" x14ac:dyDescent="0.3">
      <c r="AE180" s="298"/>
      <c r="AR180" s="523"/>
    </row>
    <row r="181" spans="31:44" x14ac:dyDescent="0.3">
      <c r="AE181" s="298"/>
      <c r="AR181" s="523"/>
    </row>
    <row r="182" spans="31:44" x14ac:dyDescent="0.3">
      <c r="AE182" s="298"/>
      <c r="AR182" s="523"/>
    </row>
    <row r="183" spans="31:44" x14ac:dyDescent="0.3">
      <c r="AE183" s="298"/>
      <c r="AR183" s="523"/>
    </row>
    <row r="184" spans="31:44" x14ac:dyDescent="0.3">
      <c r="AE184" s="298"/>
      <c r="AR184" s="523"/>
    </row>
    <row r="185" spans="31:44" x14ac:dyDescent="0.3">
      <c r="AE185" s="298"/>
      <c r="AR185" s="523"/>
    </row>
    <row r="186" spans="31:44" x14ac:dyDescent="0.3">
      <c r="AE186" s="298"/>
      <c r="AR186" s="523"/>
    </row>
    <row r="187" spans="31:44" x14ac:dyDescent="0.3">
      <c r="AE187" s="298"/>
      <c r="AR187" s="523"/>
    </row>
    <row r="188" spans="31:44" x14ac:dyDescent="0.3">
      <c r="AE188" s="298"/>
      <c r="AR188" s="523"/>
    </row>
    <row r="189" spans="31:44" x14ac:dyDescent="0.3">
      <c r="AE189" s="298"/>
      <c r="AR189" s="523"/>
    </row>
    <row r="190" spans="31:44" x14ac:dyDescent="0.3">
      <c r="AE190" s="298"/>
      <c r="AR190" s="523"/>
    </row>
    <row r="191" spans="31:44" x14ac:dyDescent="0.3">
      <c r="AE191" s="298"/>
      <c r="AR191" s="523"/>
    </row>
    <row r="192" spans="31:44" x14ac:dyDescent="0.3">
      <c r="AE192" s="298"/>
      <c r="AR192" s="523"/>
    </row>
    <row r="193" spans="31:44" x14ac:dyDescent="0.3">
      <c r="AE193" s="298"/>
      <c r="AR193" s="523"/>
    </row>
    <row r="194" spans="31:44" x14ac:dyDescent="0.3">
      <c r="AE194" s="298"/>
      <c r="AR194" s="523"/>
    </row>
    <row r="195" spans="31:44" x14ac:dyDescent="0.3">
      <c r="AE195" s="298"/>
      <c r="AR195" s="523"/>
    </row>
    <row r="196" spans="31:44" x14ac:dyDescent="0.3">
      <c r="AE196" s="298"/>
      <c r="AR196" s="523"/>
    </row>
    <row r="197" spans="31:44" x14ac:dyDescent="0.3">
      <c r="AE197" s="298"/>
      <c r="AR197" s="523"/>
    </row>
    <row r="198" spans="31:44" x14ac:dyDescent="0.3">
      <c r="AE198" s="298"/>
      <c r="AR198" s="523"/>
    </row>
    <row r="199" spans="31:44" x14ac:dyDescent="0.3">
      <c r="AE199" s="298"/>
      <c r="AR199" s="523"/>
    </row>
    <row r="200" spans="31:44" x14ac:dyDescent="0.3">
      <c r="AE200" s="298"/>
      <c r="AR200" s="523"/>
    </row>
    <row r="201" spans="31:44" x14ac:dyDescent="0.3">
      <c r="AE201" s="298"/>
      <c r="AR201" s="523"/>
    </row>
    <row r="202" spans="31:44" x14ac:dyDescent="0.3">
      <c r="AE202" s="298"/>
      <c r="AR202" s="523"/>
    </row>
    <row r="203" spans="31:44" x14ac:dyDescent="0.3">
      <c r="AE203" s="298"/>
      <c r="AR203" s="523"/>
    </row>
  </sheetData>
  <mergeCells count="6">
    <mergeCell ref="AS131:AW150"/>
    <mergeCell ref="AS157:AW169"/>
    <mergeCell ref="O3:Z3"/>
    <mergeCell ref="AF3:AP3"/>
    <mergeCell ref="AP25:AR41"/>
    <mergeCell ref="AS88:AX97"/>
  </mergeCells>
  <hyperlinks>
    <hyperlink ref="B2" r:id="rId1" xr:uid="{7AC829D5-118A-4C36-9CFE-5857FA8F0BA6}"/>
    <hyperlink ref="AV5" r:id="rId2" xr:uid="{C1CD1DCC-0FB4-4733-858F-09CDD36735FD}"/>
  </hyperlinks>
  <pageMargins left="0.7" right="0.7" top="0.75" bottom="0.75" header="0.3" footer="0.3"/>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B53BB4-0332-4A72-9FEB-7FE483C3794D}">
  <dimension ref="A1:F82"/>
  <sheetViews>
    <sheetView workbookViewId="0">
      <selection activeCell="B17" sqref="B17"/>
    </sheetView>
  </sheetViews>
  <sheetFormatPr defaultRowHeight="14.4" x14ac:dyDescent="0.3"/>
  <cols>
    <col min="1" max="1" width="47.6640625" customWidth="1"/>
    <col min="2" max="2" width="29.5546875" customWidth="1"/>
    <col min="3" max="3" width="17" customWidth="1"/>
    <col min="4" max="4" width="59.44140625" customWidth="1"/>
    <col min="5" max="5" width="29.6640625" customWidth="1"/>
  </cols>
  <sheetData>
    <row r="1" spans="1:6" ht="24" customHeight="1" x14ac:dyDescent="0.3">
      <c r="A1" s="115" t="s">
        <v>1173</v>
      </c>
      <c r="B1" s="116" t="s">
        <v>1174</v>
      </c>
      <c r="C1" s="117"/>
      <c r="D1" s="117"/>
    </row>
    <row r="2" spans="1:6" x14ac:dyDescent="0.3">
      <c r="B2" s="97" t="s">
        <v>1175</v>
      </c>
    </row>
    <row r="4" spans="1:6" ht="15.6" x14ac:dyDescent="0.3">
      <c r="A4" s="111" t="s">
        <v>1176</v>
      </c>
      <c r="B4" s="110">
        <v>1</v>
      </c>
      <c r="C4" s="109" t="s">
        <v>1177</v>
      </c>
      <c r="D4" s="109"/>
      <c r="E4" s="7"/>
      <c r="F4" s="7"/>
    </row>
    <row r="5" spans="1:6" ht="15.6" x14ac:dyDescent="0.3">
      <c r="A5" s="111" t="s">
        <v>1178</v>
      </c>
      <c r="B5" s="112">
        <v>100</v>
      </c>
      <c r="C5" s="109" t="s">
        <v>58</v>
      </c>
      <c r="D5" s="109" t="s">
        <v>1179</v>
      </c>
      <c r="E5" s="7"/>
      <c r="F5" s="7"/>
    </row>
    <row r="7" spans="1:6" ht="15.6" x14ac:dyDescent="0.3">
      <c r="A7" s="98" t="s">
        <v>1180</v>
      </c>
      <c r="B7" s="99"/>
      <c r="C7" s="99"/>
      <c r="D7" s="99"/>
    </row>
    <row r="9" spans="1:6" x14ac:dyDescent="0.3">
      <c r="A9" s="100" t="s">
        <v>1181</v>
      </c>
      <c r="B9" s="100"/>
      <c r="C9" s="100"/>
      <c r="D9" s="100"/>
      <c r="E9" s="7"/>
      <c r="F9" s="7"/>
    </row>
    <row r="10" spans="1:6" x14ac:dyDescent="0.3">
      <c r="A10" s="100" t="s">
        <v>1182</v>
      </c>
      <c r="B10" s="100"/>
      <c r="C10" s="100"/>
      <c r="D10" s="100"/>
      <c r="E10" s="7"/>
      <c r="F10" s="7"/>
    </row>
    <row r="12" spans="1:6" ht="20.25" customHeight="1" x14ac:dyDescent="0.3">
      <c r="A12" s="763" t="s">
        <v>1183</v>
      </c>
      <c r="B12" s="763"/>
      <c r="C12" s="763"/>
      <c r="D12" s="763"/>
      <c r="E12" s="108"/>
    </row>
    <row r="13" spans="1:6" x14ac:dyDescent="0.3">
      <c r="A13" s="94" t="s">
        <v>54</v>
      </c>
      <c r="B13" s="94" t="s">
        <v>319</v>
      </c>
      <c r="C13" s="95" t="s">
        <v>832</v>
      </c>
      <c r="D13" s="95" t="s">
        <v>1184</v>
      </c>
    </row>
    <row r="14" spans="1:6" ht="19.5" customHeight="1" x14ac:dyDescent="0.3">
      <c r="A14" s="50" t="s">
        <v>1185</v>
      </c>
      <c r="B14" s="102">
        <v>10.8</v>
      </c>
      <c r="C14" s="50" t="s">
        <v>1186</v>
      </c>
      <c r="D14" s="50"/>
    </row>
    <row r="15" spans="1:6" ht="28.8" x14ac:dyDescent="0.3">
      <c r="A15" s="9" t="s">
        <v>1187</v>
      </c>
      <c r="B15" s="102">
        <v>10.8</v>
      </c>
      <c r="C15" s="50" t="s">
        <v>351</v>
      </c>
      <c r="D15" s="50"/>
    </row>
    <row r="16" spans="1:6" ht="22.5" customHeight="1" x14ac:dyDescent="0.3">
      <c r="A16" t="s">
        <v>1188</v>
      </c>
      <c r="B16" s="102">
        <v>10.8</v>
      </c>
      <c r="C16" s="50" t="s">
        <v>351</v>
      </c>
      <c r="D16" s="50"/>
    </row>
    <row r="17" spans="1:4" ht="33" customHeight="1" x14ac:dyDescent="0.3">
      <c r="A17" t="s">
        <v>1189</v>
      </c>
      <c r="B17" s="102">
        <v>2723.25</v>
      </c>
      <c r="C17" s="50" t="s">
        <v>67</v>
      </c>
      <c r="D17" s="103" t="s">
        <v>1190</v>
      </c>
    </row>
    <row r="18" spans="1:4" x14ac:dyDescent="0.3">
      <c r="A18" s="106" t="s">
        <v>1191</v>
      </c>
      <c r="B18" s="104"/>
      <c r="C18" s="105"/>
      <c r="D18" s="105"/>
    </row>
    <row r="19" spans="1:4" x14ac:dyDescent="0.3">
      <c r="A19" t="s">
        <v>1192</v>
      </c>
      <c r="B19" s="101">
        <v>127.44</v>
      </c>
      <c r="C19" t="s">
        <v>144</v>
      </c>
    </row>
    <row r="20" spans="1:4" x14ac:dyDescent="0.3">
      <c r="A20" t="s">
        <v>1193</v>
      </c>
      <c r="B20" s="101">
        <v>94.5</v>
      </c>
      <c r="C20" t="s">
        <v>144</v>
      </c>
    </row>
    <row r="21" spans="1:4" x14ac:dyDescent="0.3">
      <c r="A21" t="s">
        <v>1194</v>
      </c>
      <c r="B21" s="101">
        <v>94.5</v>
      </c>
      <c r="C21" t="s">
        <v>144</v>
      </c>
    </row>
    <row r="22" spans="1:4" x14ac:dyDescent="0.3">
      <c r="A22" t="s">
        <v>1195</v>
      </c>
      <c r="B22" s="101">
        <v>2.5720000000000001</v>
      </c>
      <c r="C22" t="s">
        <v>144</v>
      </c>
    </row>
    <row r="23" spans="1:4" x14ac:dyDescent="0.3">
      <c r="A23" s="106" t="s">
        <v>1196</v>
      </c>
      <c r="B23" s="104"/>
      <c r="C23" s="105"/>
      <c r="D23" s="105"/>
    </row>
    <row r="24" spans="1:4" ht="43.2" x14ac:dyDescent="0.3">
      <c r="A24" s="3" t="s">
        <v>324</v>
      </c>
      <c r="B24" s="102">
        <v>11.32</v>
      </c>
      <c r="C24" s="49" t="s">
        <v>351</v>
      </c>
      <c r="D24" s="75" t="s">
        <v>1197</v>
      </c>
    </row>
    <row r="25" spans="1:4" ht="28.8" x14ac:dyDescent="0.3">
      <c r="A25" s="3" t="s">
        <v>393</v>
      </c>
      <c r="B25" s="107">
        <v>2484000</v>
      </c>
      <c r="C25" s="49" t="s">
        <v>67</v>
      </c>
      <c r="D25" s="75" t="s">
        <v>1198</v>
      </c>
    </row>
    <row r="26" spans="1:4" x14ac:dyDescent="0.3">
      <c r="A26" s="3" t="s">
        <v>398</v>
      </c>
      <c r="B26" s="102">
        <v>2700</v>
      </c>
      <c r="C26" s="49" t="s">
        <v>351</v>
      </c>
    </row>
    <row r="27" spans="1:4" x14ac:dyDescent="0.3">
      <c r="A27" s="3" t="s">
        <v>1199</v>
      </c>
      <c r="B27" s="102">
        <v>1620</v>
      </c>
      <c r="C27" s="49" t="s">
        <v>351</v>
      </c>
    </row>
    <row r="28" spans="1:4" ht="28.8" x14ac:dyDescent="0.3">
      <c r="A28" s="3" t="s">
        <v>1200</v>
      </c>
      <c r="B28" s="102">
        <v>3.2</v>
      </c>
      <c r="C28" s="49" t="s">
        <v>1201</v>
      </c>
      <c r="D28" s="9" t="s">
        <v>1202</v>
      </c>
    </row>
    <row r="29" spans="1:4" ht="57.6" x14ac:dyDescent="0.3">
      <c r="A29" s="3" t="s">
        <v>1203</v>
      </c>
      <c r="B29" s="102">
        <v>3</v>
      </c>
      <c r="C29" s="88" t="s">
        <v>1177</v>
      </c>
      <c r="D29" s="9" t="s">
        <v>1204</v>
      </c>
    </row>
    <row r="30" spans="1:4" x14ac:dyDescent="0.3">
      <c r="A30" s="3" t="s">
        <v>1205</v>
      </c>
      <c r="B30" s="102">
        <v>367.2</v>
      </c>
      <c r="C30" s="49" t="s">
        <v>58</v>
      </c>
      <c r="D30" t="s">
        <v>1206</v>
      </c>
    </row>
    <row r="31" spans="1:4" x14ac:dyDescent="0.3">
      <c r="A31" s="3" t="s">
        <v>1207</v>
      </c>
      <c r="B31" s="102">
        <v>11560</v>
      </c>
      <c r="C31" s="49" t="s">
        <v>58</v>
      </c>
      <c r="D31" t="s">
        <v>1208</v>
      </c>
    </row>
    <row r="32" spans="1:4" x14ac:dyDescent="0.3">
      <c r="A32" s="3" t="s">
        <v>1209</v>
      </c>
      <c r="B32" s="102">
        <v>226.95</v>
      </c>
      <c r="C32" s="49" t="s">
        <v>58</v>
      </c>
      <c r="D32" t="s">
        <v>1210</v>
      </c>
    </row>
    <row r="33" spans="1:4" x14ac:dyDescent="0.3">
      <c r="A33" s="3" t="s">
        <v>1211</v>
      </c>
      <c r="B33" s="160">
        <v>4.1999999999999998E-5</v>
      </c>
      <c r="C33" s="88" t="s">
        <v>1177</v>
      </c>
      <c r="D33" t="s">
        <v>1212</v>
      </c>
    </row>
    <row r="34" spans="1:4" x14ac:dyDescent="0.3">
      <c r="A34" s="3" t="s">
        <v>1213</v>
      </c>
      <c r="B34" s="101">
        <v>15</v>
      </c>
      <c r="C34" s="90" t="s">
        <v>1214</v>
      </c>
      <c r="D34" t="s">
        <v>1215</v>
      </c>
    </row>
    <row r="35" spans="1:4" x14ac:dyDescent="0.3">
      <c r="A35" t="s">
        <v>1216</v>
      </c>
      <c r="B35" s="101"/>
      <c r="C35" s="90"/>
    </row>
    <row r="36" spans="1:4" x14ac:dyDescent="0.3">
      <c r="A36" t="s">
        <v>1217</v>
      </c>
      <c r="B36" s="101">
        <v>1</v>
      </c>
      <c r="C36" s="88" t="s">
        <v>1177</v>
      </c>
    </row>
    <row r="37" spans="1:4" ht="24" customHeight="1" x14ac:dyDescent="0.3">
      <c r="A37" s="764" t="s">
        <v>1218</v>
      </c>
      <c r="B37" s="764"/>
      <c r="C37" s="764"/>
      <c r="D37" s="764"/>
    </row>
    <row r="38" spans="1:4" x14ac:dyDescent="0.3">
      <c r="A38" s="94" t="s">
        <v>1219</v>
      </c>
      <c r="B38" s="94" t="s">
        <v>319</v>
      </c>
      <c r="C38" s="95" t="s">
        <v>832</v>
      </c>
      <c r="D38" s="95" t="s">
        <v>1184</v>
      </c>
    </row>
    <row r="39" spans="1:4" x14ac:dyDescent="0.3">
      <c r="A39" t="s">
        <v>1220</v>
      </c>
      <c r="B39" s="3">
        <v>38.231999999999999</v>
      </c>
      <c r="C39" s="49" t="s">
        <v>144</v>
      </c>
    </row>
    <row r="40" spans="1:4" x14ac:dyDescent="0.3">
      <c r="A40" t="s">
        <v>1221</v>
      </c>
      <c r="B40" s="3">
        <v>4.1230000000000002</v>
      </c>
      <c r="C40" s="49" t="s">
        <v>144</v>
      </c>
    </row>
    <row r="41" spans="1:4" x14ac:dyDescent="0.3">
      <c r="A41" t="s">
        <v>1222</v>
      </c>
      <c r="B41" s="3">
        <v>23.535</v>
      </c>
      <c r="C41" s="49" t="s">
        <v>144</v>
      </c>
    </row>
    <row r="42" spans="1:4" x14ac:dyDescent="0.3">
      <c r="A42" s="94" t="s">
        <v>1223</v>
      </c>
      <c r="B42" s="94" t="s">
        <v>319</v>
      </c>
      <c r="C42" s="95" t="s">
        <v>832</v>
      </c>
      <c r="D42" s="95" t="s">
        <v>1184</v>
      </c>
    </row>
    <row r="43" spans="1:4" ht="28.8" x14ac:dyDescent="0.3">
      <c r="A43" s="9" t="s">
        <v>1224</v>
      </c>
      <c r="B43" s="102">
        <v>600</v>
      </c>
      <c r="C43" s="75" t="s">
        <v>58</v>
      </c>
      <c r="D43" s="50" t="s">
        <v>1225</v>
      </c>
    </row>
    <row r="45" spans="1:4" ht="18" x14ac:dyDescent="0.3">
      <c r="A45" s="765" t="s">
        <v>1226</v>
      </c>
      <c r="B45" s="763"/>
      <c r="C45" s="763"/>
      <c r="D45" s="763"/>
    </row>
    <row r="46" spans="1:4" ht="43.2" x14ac:dyDescent="0.3">
      <c r="A46" s="122" t="s">
        <v>1227</v>
      </c>
      <c r="B46" s="123">
        <v>1</v>
      </c>
      <c r="C46" s="123" t="s">
        <v>1177</v>
      </c>
      <c r="D46" s="120" t="s">
        <v>1228</v>
      </c>
    </row>
    <row r="47" spans="1:4" ht="28.8" x14ac:dyDescent="0.3">
      <c r="A47" s="113" t="s">
        <v>1229</v>
      </c>
      <c r="B47" s="114">
        <v>346</v>
      </c>
      <c r="C47" s="114" t="s">
        <v>67</v>
      </c>
      <c r="D47" s="121" t="s">
        <v>1230</v>
      </c>
    </row>
    <row r="48" spans="1:4" x14ac:dyDescent="0.3">
      <c r="A48" s="94" t="s">
        <v>126</v>
      </c>
      <c r="B48" s="94" t="s">
        <v>319</v>
      </c>
      <c r="C48" s="95" t="s">
        <v>832</v>
      </c>
      <c r="D48" s="95" t="s">
        <v>1184</v>
      </c>
    </row>
    <row r="49" spans="1:4" x14ac:dyDescent="0.3">
      <c r="A49" t="s">
        <v>1231</v>
      </c>
      <c r="B49" s="3">
        <v>4</v>
      </c>
      <c r="C49" t="s">
        <v>1177</v>
      </c>
      <c r="D49" t="s">
        <v>1232</v>
      </c>
    </row>
    <row r="50" spans="1:4" x14ac:dyDescent="0.3">
      <c r="A50" t="s">
        <v>1233</v>
      </c>
      <c r="B50" s="3">
        <v>14175</v>
      </c>
      <c r="C50" t="s">
        <v>67</v>
      </c>
      <c r="D50" t="s">
        <v>1234</v>
      </c>
    </row>
    <row r="51" spans="1:4" x14ac:dyDescent="0.3">
      <c r="A51" t="s">
        <v>1235</v>
      </c>
      <c r="B51" s="3">
        <v>420</v>
      </c>
      <c r="C51" t="s">
        <v>1214</v>
      </c>
      <c r="D51" t="s">
        <v>1236</v>
      </c>
    </row>
    <row r="53" spans="1:4" ht="18.75" customHeight="1" x14ac:dyDescent="0.3">
      <c r="A53" s="765" t="s">
        <v>1237</v>
      </c>
      <c r="B53" s="763"/>
      <c r="C53" s="763"/>
      <c r="D53" s="763"/>
    </row>
    <row r="54" spans="1:4" ht="55.2" x14ac:dyDescent="0.3">
      <c r="A54" s="123" t="s">
        <v>1227</v>
      </c>
      <c r="B54" s="123">
        <v>1</v>
      </c>
      <c r="C54" s="123" t="s">
        <v>1177</v>
      </c>
      <c r="D54" s="119" t="s">
        <v>1238</v>
      </c>
    </row>
    <row r="55" spans="1:4" ht="27.6" x14ac:dyDescent="0.3">
      <c r="A55" s="114" t="s">
        <v>1239</v>
      </c>
      <c r="B55" s="114">
        <v>1350</v>
      </c>
      <c r="C55" s="114" t="s">
        <v>144</v>
      </c>
      <c r="D55" s="118" t="s">
        <v>1240</v>
      </c>
    </row>
    <row r="56" spans="1:4" x14ac:dyDescent="0.3">
      <c r="A56" s="94" t="s">
        <v>1241</v>
      </c>
      <c r="B56" s="94" t="s">
        <v>319</v>
      </c>
      <c r="C56" s="95" t="s">
        <v>832</v>
      </c>
      <c r="D56" s="95" t="s">
        <v>1184</v>
      </c>
    </row>
    <row r="57" spans="1:4" x14ac:dyDescent="0.3">
      <c r="A57" t="s">
        <v>1189</v>
      </c>
      <c r="B57" s="3">
        <v>6000</v>
      </c>
      <c r="C57" t="s">
        <v>67</v>
      </c>
      <c r="D57" t="s">
        <v>1242</v>
      </c>
    </row>
    <row r="58" spans="1:4" x14ac:dyDescent="0.3">
      <c r="A58" s="94" t="s">
        <v>1243</v>
      </c>
      <c r="B58" s="94" t="s">
        <v>319</v>
      </c>
      <c r="C58" s="95" t="s">
        <v>832</v>
      </c>
      <c r="D58" s="95" t="s">
        <v>1184</v>
      </c>
    </row>
    <row r="59" spans="1:4" x14ac:dyDescent="0.3">
      <c r="A59" t="s">
        <v>1244</v>
      </c>
      <c r="B59" s="3">
        <v>52.83</v>
      </c>
      <c r="C59" s="50" t="s">
        <v>144</v>
      </c>
    </row>
    <row r="60" spans="1:4" x14ac:dyDescent="0.3">
      <c r="A60" t="s">
        <v>1245</v>
      </c>
      <c r="B60" s="3">
        <v>1009.26</v>
      </c>
      <c r="C60" s="50" t="s">
        <v>144</v>
      </c>
      <c r="D60" t="s">
        <v>1246</v>
      </c>
    </row>
    <row r="61" spans="1:4" x14ac:dyDescent="0.3">
      <c r="A61" t="s">
        <v>1247</v>
      </c>
      <c r="B61" s="3">
        <v>26100</v>
      </c>
      <c r="C61" s="50" t="s">
        <v>58</v>
      </c>
      <c r="D61" t="s">
        <v>1248</v>
      </c>
    </row>
    <row r="62" spans="1:4" x14ac:dyDescent="0.3">
      <c r="A62" t="s">
        <v>1249</v>
      </c>
      <c r="B62" s="3">
        <v>1204.83</v>
      </c>
      <c r="C62" s="50" t="s">
        <v>144</v>
      </c>
      <c r="D62" t="s">
        <v>1250</v>
      </c>
    </row>
    <row r="63" spans="1:4" x14ac:dyDescent="0.3">
      <c r="A63" s="94" t="s">
        <v>1251</v>
      </c>
      <c r="B63" s="94" t="s">
        <v>319</v>
      </c>
      <c r="C63" s="95" t="s">
        <v>832</v>
      </c>
      <c r="D63" s="95" t="s">
        <v>1184</v>
      </c>
    </row>
    <row r="64" spans="1:4" ht="28.8" x14ac:dyDescent="0.3">
      <c r="A64" t="s">
        <v>1252</v>
      </c>
      <c r="B64" s="3">
        <v>2040</v>
      </c>
      <c r="C64" s="49" t="s">
        <v>1253</v>
      </c>
      <c r="D64" s="9" t="s">
        <v>1254</v>
      </c>
    </row>
    <row r="65" spans="1:4" x14ac:dyDescent="0.3">
      <c r="A65" s="4" t="s">
        <v>1255</v>
      </c>
      <c r="B65" s="125">
        <v>157</v>
      </c>
      <c r="C65" s="126" t="s">
        <v>1256</v>
      </c>
    </row>
    <row r="66" spans="1:4" x14ac:dyDescent="0.3">
      <c r="A66" t="s">
        <v>1257</v>
      </c>
      <c r="B66" s="3">
        <v>15</v>
      </c>
      <c r="C66" s="49" t="s">
        <v>1177</v>
      </c>
    </row>
    <row r="67" spans="1:4" x14ac:dyDescent="0.3">
      <c r="A67" t="s">
        <v>1258</v>
      </c>
      <c r="B67" s="3">
        <v>1500</v>
      </c>
      <c r="C67" s="49" t="s">
        <v>58</v>
      </c>
    </row>
    <row r="68" spans="1:4" x14ac:dyDescent="0.3">
      <c r="A68" t="s">
        <v>1259</v>
      </c>
      <c r="B68" s="3">
        <v>55.5</v>
      </c>
      <c r="C68" s="49" t="s">
        <v>1214</v>
      </c>
      <c r="D68" t="s">
        <v>1260</v>
      </c>
    </row>
    <row r="69" spans="1:4" x14ac:dyDescent="0.3">
      <c r="A69" t="s">
        <v>1261</v>
      </c>
      <c r="B69" s="3">
        <v>34.65</v>
      </c>
      <c r="C69" s="49" t="s">
        <v>1214</v>
      </c>
      <c r="D69" t="s">
        <v>1262</v>
      </c>
    </row>
    <row r="70" spans="1:4" x14ac:dyDescent="0.3">
      <c r="A70" t="s">
        <v>1261</v>
      </c>
      <c r="B70" s="3">
        <v>2400</v>
      </c>
      <c r="C70" s="49" t="s">
        <v>1214</v>
      </c>
      <c r="D70" t="s">
        <v>1263</v>
      </c>
    </row>
    <row r="71" spans="1:4" x14ac:dyDescent="0.3">
      <c r="A71" t="s">
        <v>1261</v>
      </c>
      <c r="B71" s="3">
        <v>39150</v>
      </c>
      <c r="C71" s="49" t="s">
        <v>1214</v>
      </c>
      <c r="D71" t="s">
        <v>1264</v>
      </c>
    </row>
    <row r="72" spans="1:4" x14ac:dyDescent="0.3">
      <c r="A72" t="s">
        <v>1261</v>
      </c>
      <c r="B72" s="3">
        <v>550</v>
      </c>
      <c r="C72" s="49" t="s">
        <v>1214</v>
      </c>
      <c r="D72" t="s">
        <v>1265</v>
      </c>
    </row>
    <row r="73" spans="1:4" ht="57.75" customHeight="1" x14ac:dyDescent="0.3">
      <c r="A73" t="s">
        <v>1266</v>
      </c>
      <c r="B73" s="159">
        <v>1934598.75</v>
      </c>
      <c r="C73" s="49" t="s">
        <v>1177</v>
      </c>
      <c r="D73" s="124" t="s">
        <v>1267</v>
      </c>
    </row>
    <row r="74" spans="1:4" ht="28.8" x14ac:dyDescent="0.3">
      <c r="A74" t="s">
        <v>1268</v>
      </c>
      <c r="B74" s="3">
        <v>162.51</v>
      </c>
      <c r="C74" s="49" t="s">
        <v>1269</v>
      </c>
      <c r="D74" s="9" t="s">
        <v>1270</v>
      </c>
    </row>
    <row r="75" spans="1:4" x14ac:dyDescent="0.3">
      <c r="A75" s="4" t="s">
        <v>1255</v>
      </c>
      <c r="B75" s="125">
        <v>157</v>
      </c>
      <c r="C75" s="126" t="s">
        <v>1256</v>
      </c>
      <c r="D75" s="4" t="s">
        <v>1271</v>
      </c>
    </row>
    <row r="76" spans="1:4" ht="28.8" x14ac:dyDescent="0.3">
      <c r="A76" t="s">
        <v>1272</v>
      </c>
      <c r="B76" s="3">
        <v>1350</v>
      </c>
      <c r="C76" s="49" t="s">
        <v>144</v>
      </c>
      <c r="D76" s="103" t="s">
        <v>1273</v>
      </c>
    </row>
    <row r="77" spans="1:4" ht="28.8" x14ac:dyDescent="0.3">
      <c r="A77" t="s">
        <v>1274</v>
      </c>
      <c r="B77" s="3">
        <v>400</v>
      </c>
      <c r="C77" s="49" t="s">
        <v>67</v>
      </c>
      <c r="D77" s="103" t="s">
        <v>1275</v>
      </c>
    </row>
    <row r="78" spans="1:4" x14ac:dyDescent="0.3">
      <c r="A78" s="94" t="s">
        <v>1276</v>
      </c>
      <c r="B78" s="94" t="s">
        <v>319</v>
      </c>
      <c r="C78" s="95" t="s">
        <v>832</v>
      </c>
      <c r="D78" s="95" t="s">
        <v>1184</v>
      </c>
    </row>
    <row r="79" spans="1:4" x14ac:dyDescent="0.3">
      <c r="A79" t="s">
        <v>1277</v>
      </c>
      <c r="B79" s="3">
        <v>1204.83</v>
      </c>
      <c r="C79" t="s">
        <v>144</v>
      </c>
      <c r="D79" t="s">
        <v>1250</v>
      </c>
    </row>
    <row r="80" spans="1:4" x14ac:dyDescent="0.3">
      <c r="A80" t="s">
        <v>1277</v>
      </c>
      <c r="B80" s="3">
        <v>26100</v>
      </c>
      <c r="C80" t="s">
        <v>58</v>
      </c>
      <c r="D80" t="s">
        <v>1278</v>
      </c>
    </row>
    <row r="81" spans="1:4" x14ac:dyDescent="0.3">
      <c r="A81" t="s">
        <v>1279</v>
      </c>
      <c r="B81" s="3">
        <v>1009.26</v>
      </c>
      <c r="C81" t="s">
        <v>144</v>
      </c>
      <c r="D81" t="s">
        <v>1280</v>
      </c>
    </row>
    <row r="82" spans="1:4" x14ac:dyDescent="0.3">
      <c r="A82" t="s">
        <v>1281</v>
      </c>
      <c r="B82" s="3">
        <v>1854</v>
      </c>
      <c r="C82" t="s">
        <v>1214</v>
      </c>
      <c r="D82" t="s">
        <v>1282</v>
      </c>
    </row>
  </sheetData>
  <mergeCells count="4">
    <mergeCell ref="A12:D12"/>
    <mergeCell ref="A37:D37"/>
    <mergeCell ref="A45:D45"/>
    <mergeCell ref="A53:D53"/>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106A7D-665F-4710-A26F-B1B9B1BFA3C8}">
  <dimension ref="A1:F59"/>
  <sheetViews>
    <sheetView topLeftCell="A2" workbookViewId="0">
      <selection activeCell="G2" sqref="G2"/>
    </sheetView>
  </sheetViews>
  <sheetFormatPr defaultRowHeight="14.4" x14ac:dyDescent="0.3"/>
  <cols>
    <col min="1" max="1" width="27" customWidth="1"/>
    <col min="2" max="2" width="48.33203125" customWidth="1"/>
    <col min="3" max="3" width="19.44140625" customWidth="1"/>
    <col min="4" max="4" width="25.88671875" style="40" customWidth="1"/>
    <col min="5" max="5" width="3.88671875" customWidth="1"/>
    <col min="6" max="6" width="9.109375" style="60"/>
  </cols>
  <sheetData>
    <row r="1" spans="1:5" s="60" customFormat="1" x14ac:dyDescent="0.3">
      <c r="D1" s="61"/>
    </row>
    <row r="2" spans="1:5" x14ac:dyDescent="0.3">
      <c r="A2" t="s">
        <v>1283</v>
      </c>
      <c r="B2" t="s">
        <v>1284</v>
      </c>
      <c r="C2" s="7" t="s">
        <v>1285</v>
      </c>
      <c r="D2"/>
    </row>
    <row r="3" spans="1:5" x14ac:dyDescent="0.3">
      <c r="C3" s="130" t="s">
        <v>1286</v>
      </c>
    </row>
    <row r="4" spans="1:5" x14ac:dyDescent="0.3">
      <c r="B4" s="7" t="s">
        <v>1287</v>
      </c>
    </row>
    <row r="5" spans="1:5" ht="32.25" customHeight="1" x14ac:dyDescent="0.3">
      <c r="A5" s="766" t="s">
        <v>1288</v>
      </c>
      <c r="B5" s="767"/>
      <c r="C5" s="767"/>
      <c r="D5" s="768"/>
    </row>
    <row r="6" spans="1:5" x14ac:dyDescent="0.3">
      <c r="A6" s="571" t="s">
        <v>1289</v>
      </c>
      <c r="B6" s="33"/>
      <c r="C6" s="33"/>
      <c r="D6" s="572"/>
    </row>
    <row r="7" spans="1:5" ht="28.5" customHeight="1" x14ac:dyDescent="0.3">
      <c r="A7" s="770" t="s">
        <v>1290</v>
      </c>
      <c r="B7" s="770"/>
      <c r="C7" s="770"/>
      <c r="D7" s="770"/>
    </row>
    <row r="8" spans="1:5" ht="21" customHeight="1" x14ac:dyDescent="0.3">
      <c r="A8" s="770"/>
      <c r="B8" s="770"/>
      <c r="C8" s="770"/>
      <c r="D8" s="770"/>
    </row>
    <row r="9" spans="1:5" x14ac:dyDescent="0.3">
      <c r="A9" s="771" t="s">
        <v>1291</v>
      </c>
      <c r="B9" s="771"/>
      <c r="C9" s="771"/>
      <c r="D9" s="771"/>
    </row>
    <row r="10" spans="1:5" x14ac:dyDescent="0.3">
      <c r="A10" s="771"/>
      <c r="B10" s="771"/>
      <c r="C10" s="771"/>
      <c r="D10" s="771"/>
    </row>
    <row r="11" spans="1:5" x14ac:dyDescent="0.3">
      <c r="A11" s="92"/>
      <c r="B11" s="92"/>
      <c r="C11" s="92"/>
      <c r="D11" s="92"/>
    </row>
    <row r="12" spans="1:5" ht="18.75" customHeight="1" x14ac:dyDescent="0.3">
      <c r="A12" s="769" t="s">
        <v>1292</v>
      </c>
      <c r="B12" s="769"/>
      <c r="C12" s="769"/>
      <c r="D12" s="769"/>
    </row>
    <row r="13" spans="1:5" x14ac:dyDescent="0.3">
      <c r="B13" s="94" t="s">
        <v>54</v>
      </c>
      <c r="C13" s="94" t="s">
        <v>319</v>
      </c>
      <c r="D13" s="95" t="s">
        <v>832</v>
      </c>
      <c r="E13" s="40"/>
    </row>
    <row r="14" spans="1:5" x14ac:dyDescent="0.3">
      <c r="A14" t="s">
        <v>1293</v>
      </c>
      <c r="B14" t="s">
        <v>1294</v>
      </c>
      <c r="C14" s="40">
        <v>16</v>
      </c>
      <c r="D14" s="90" t="s">
        <v>1295</v>
      </c>
    </row>
    <row r="15" spans="1:5" x14ac:dyDescent="0.3">
      <c r="A15" t="s">
        <v>1296</v>
      </c>
      <c r="B15" t="s">
        <v>1297</v>
      </c>
      <c r="C15" s="40">
        <v>10.85</v>
      </c>
      <c r="D15" s="90" t="s">
        <v>58</v>
      </c>
    </row>
    <row r="16" spans="1:5" x14ac:dyDescent="0.3">
      <c r="B16" t="s">
        <v>1298</v>
      </c>
      <c r="C16" s="40">
        <v>14.15</v>
      </c>
      <c r="D16" s="90" t="s">
        <v>58</v>
      </c>
    </row>
    <row r="17" spans="1:4" x14ac:dyDescent="0.3">
      <c r="B17" t="s">
        <v>1299</v>
      </c>
      <c r="C17" s="40">
        <v>3.97</v>
      </c>
      <c r="D17" s="90" t="s">
        <v>58</v>
      </c>
    </row>
    <row r="18" spans="1:4" x14ac:dyDescent="0.3">
      <c r="A18" t="s">
        <v>1300</v>
      </c>
      <c r="B18" t="s">
        <v>1301</v>
      </c>
      <c r="C18" s="40">
        <v>0.122</v>
      </c>
      <c r="D18" s="90" t="s">
        <v>58</v>
      </c>
    </row>
    <row r="19" spans="1:4" x14ac:dyDescent="0.3">
      <c r="C19" s="40"/>
      <c r="D19" s="90"/>
    </row>
    <row r="21" spans="1:4" ht="19.5" customHeight="1" x14ac:dyDescent="0.3">
      <c r="A21" s="772" t="s">
        <v>1302</v>
      </c>
      <c r="B21" s="772"/>
      <c r="C21" s="772"/>
      <c r="D21" s="772"/>
    </row>
    <row r="22" spans="1:4" x14ac:dyDescent="0.3">
      <c r="A22" s="769" t="s">
        <v>1303</v>
      </c>
      <c r="B22" s="769"/>
      <c r="C22" s="769"/>
      <c r="D22" s="769"/>
    </row>
    <row r="23" spans="1:4" x14ac:dyDescent="0.3">
      <c r="B23" s="94" t="s">
        <v>54</v>
      </c>
      <c r="C23" s="94" t="s">
        <v>319</v>
      </c>
      <c r="D23" s="95" t="s">
        <v>832</v>
      </c>
    </row>
    <row r="24" spans="1:4" x14ac:dyDescent="0.3">
      <c r="A24" t="s">
        <v>1304</v>
      </c>
      <c r="B24" t="s">
        <v>1305</v>
      </c>
      <c r="C24" s="40">
        <v>4.8600000000000003</v>
      </c>
      <c r="D24" s="40" t="s">
        <v>67</v>
      </c>
    </row>
    <row r="25" spans="1:4" x14ac:dyDescent="0.3">
      <c r="A25" t="s">
        <v>1306</v>
      </c>
      <c r="B25" t="s">
        <v>1307</v>
      </c>
      <c r="C25" s="40">
        <v>84.69</v>
      </c>
      <c r="D25" s="40" t="s">
        <v>58</v>
      </c>
    </row>
    <row r="26" spans="1:4" x14ac:dyDescent="0.3">
      <c r="B26" t="s">
        <v>1308</v>
      </c>
      <c r="C26" s="40">
        <v>2.78</v>
      </c>
      <c r="D26" s="40" t="s">
        <v>58</v>
      </c>
    </row>
    <row r="27" spans="1:4" x14ac:dyDescent="0.3">
      <c r="B27" t="s">
        <v>1309</v>
      </c>
      <c r="C27" s="40">
        <v>18.059999999999999</v>
      </c>
      <c r="D27" s="40" t="s">
        <v>58</v>
      </c>
    </row>
    <row r="28" spans="1:4" x14ac:dyDescent="0.3">
      <c r="B28" t="s">
        <v>1310</v>
      </c>
      <c r="C28" s="40">
        <v>25.89</v>
      </c>
      <c r="D28" s="40" t="s">
        <v>58</v>
      </c>
    </row>
    <row r="29" spans="1:4" x14ac:dyDescent="0.3">
      <c r="B29" t="s">
        <v>1311</v>
      </c>
      <c r="C29" s="40">
        <v>31.61</v>
      </c>
      <c r="D29" s="40" t="s">
        <v>58</v>
      </c>
    </row>
    <row r="30" spans="1:4" x14ac:dyDescent="0.3">
      <c r="B30" t="s">
        <v>1312</v>
      </c>
      <c r="C30" s="40">
        <v>33.700000000000003</v>
      </c>
      <c r="D30" s="40" t="s">
        <v>58</v>
      </c>
    </row>
    <row r="31" spans="1:4" x14ac:dyDescent="0.3">
      <c r="B31" t="s">
        <v>1313</v>
      </c>
      <c r="C31" s="40">
        <v>456.53</v>
      </c>
      <c r="D31" s="40" t="s">
        <v>58</v>
      </c>
    </row>
    <row r="32" spans="1:4" x14ac:dyDescent="0.3">
      <c r="A32" t="s">
        <v>1314</v>
      </c>
      <c r="B32" t="s">
        <v>1315</v>
      </c>
      <c r="C32" s="40">
        <v>38.81</v>
      </c>
      <c r="D32" s="40" t="s">
        <v>58</v>
      </c>
    </row>
    <row r="33" spans="1:4" x14ac:dyDescent="0.3">
      <c r="B33" t="s">
        <v>1316</v>
      </c>
      <c r="C33" s="47">
        <v>192.85</v>
      </c>
      <c r="D33" s="40" t="s">
        <v>58</v>
      </c>
    </row>
    <row r="34" spans="1:4" x14ac:dyDescent="0.3">
      <c r="B34" t="s">
        <v>81</v>
      </c>
      <c r="C34" s="47">
        <v>3.67</v>
      </c>
      <c r="D34" s="40" t="s">
        <v>58</v>
      </c>
    </row>
    <row r="35" spans="1:4" x14ac:dyDescent="0.3">
      <c r="B35" t="s">
        <v>1317</v>
      </c>
      <c r="C35" s="47">
        <v>8</v>
      </c>
      <c r="D35" s="40" t="s">
        <v>76</v>
      </c>
    </row>
    <row r="36" spans="1:4" x14ac:dyDescent="0.3">
      <c r="B36" t="s">
        <v>1318</v>
      </c>
      <c r="C36" s="47">
        <v>502.63</v>
      </c>
      <c r="D36" s="40" t="s">
        <v>76</v>
      </c>
    </row>
    <row r="37" spans="1:4" x14ac:dyDescent="0.3">
      <c r="B37" t="s">
        <v>1319</v>
      </c>
      <c r="C37" s="47">
        <v>8.44</v>
      </c>
      <c r="D37" s="40" t="s">
        <v>1320</v>
      </c>
    </row>
    <row r="38" spans="1:4" x14ac:dyDescent="0.3">
      <c r="A38" t="s">
        <v>1321</v>
      </c>
      <c r="B38" t="s">
        <v>69</v>
      </c>
      <c r="C38" s="47">
        <v>35.79</v>
      </c>
      <c r="D38" s="40" t="s">
        <v>67</v>
      </c>
    </row>
    <row r="39" spans="1:4" x14ac:dyDescent="0.3">
      <c r="A39" s="769" t="s">
        <v>83</v>
      </c>
      <c r="B39" s="769"/>
      <c r="C39" s="769"/>
      <c r="D39" s="769"/>
    </row>
    <row r="40" spans="1:4" x14ac:dyDescent="0.3">
      <c r="B40" s="94" t="s">
        <v>83</v>
      </c>
      <c r="C40" s="94" t="s">
        <v>319</v>
      </c>
      <c r="D40" s="95" t="s">
        <v>832</v>
      </c>
    </row>
    <row r="41" spans="1:4" x14ac:dyDescent="0.3">
      <c r="A41" t="s">
        <v>267</v>
      </c>
      <c r="B41" s="7" t="s">
        <v>1322</v>
      </c>
      <c r="C41" s="96">
        <v>1</v>
      </c>
      <c r="D41" s="93" t="s">
        <v>144</v>
      </c>
    </row>
    <row r="42" spans="1:4" x14ac:dyDescent="0.3">
      <c r="B42" t="s">
        <v>1323</v>
      </c>
      <c r="C42" s="47">
        <v>432.73</v>
      </c>
      <c r="D42" s="40" t="s">
        <v>76</v>
      </c>
    </row>
    <row r="43" spans="1:4" x14ac:dyDescent="0.3">
      <c r="A43" s="769" t="s">
        <v>273</v>
      </c>
      <c r="B43" s="769"/>
      <c r="C43" s="769"/>
      <c r="D43" s="769"/>
    </row>
    <row r="44" spans="1:4" x14ac:dyDescent="0.3">
      <c r="B44" s="94" t="s">
        <v>1324</v>
      </c>
      <c r="C44" s="94" t="s">
        <v>319</v>
      </c>
      <c r="D44" s="95" t="s">
        <v>832</v>
      </c>
    </row>
    <row r="45" spans="1:4" x14ac:dyDescent="0.3">
      <c r="B45" t="s">
        <v>107</v>
      </c>
      <c r="C45" s="47">
        <v>2.2200000000000002</v>
      </c>
      <c r="D45" s="40" t="s">
        <v>58</v>
      </c>
    </row>
    <row r="46" spans="1:4" x14ac:dyDescent="0.3">
      <c r="B46" t="s">
        <v>103</v>
      </c>
      <c r="C46" s="47">
        <v>1.64</v>
      </c>
      <c r="D46" s="40" t="s">
        <v>58</v>
      </c>
    </row>
    <row r="47" spans="1:4" x14ac:dyDescent="0.3">
      <c r="B47" t="s">
        <v>290</v>
      </c>
      <c r="C47" s="40">
        <v>1.24</v>
      </c>
      <c r="D47" s="40" t="s">
        <v>58</v>
      </c>
    </row>
    <row r="48" spans="1:4" x14ac:dyDescent="0.3">
      <c r="B48" t="s">
        <v>1325</v>
      </c>
      <c r="C48" s="40">
        <v>0.28000000000000003</v>
      </c>
      <c r="D48" s="40" t="s">
        <v>58</v>
      </c>
    </row>
    <row r="49" spans="2:4" x14ac:dyDescent="0.3">
      <c r="B49" t="s">
        <v>1326</v>
      </c>
      <c r="C49" s="40">
        <v>5.32</v>
      </c>
      <c r="D49" s="40" t="s">
        <v>1320</v>
      </c>
    </row>
    <row r="50" spans="2:4" x14ac:dyDescent="0.3">
      <c r="B50" s="94" t="s">
        <v>1327</v>
      </c>
      <c r="C50" s="94" t="s">
        <v>319</v>
      </c>
      <c r="D50" s="95" t="s">
        <v>832</v>
      </c>
    </row>
    <row r="51" spans="2:4" x14ac:dyDescent="0.3">
      <c r="B51" t="s">
        <v>1328</v>
      </c>
      <c r="C51" s="40">
        <v>6.49</v>
      </c>
      <c r="D51" s="40" t="s">
        <v>58</v>
      </c>
    </row>
    <row r="52" spans="2:4" x14ac:dyDescent="0.3">
      <c r="B52" t="s">
        <v>1329</v>
      </c>
      <c r="C52" s="40">
        <v>1.89</v>
      </c>
      <c r="D52" s="40" t="s">
        <v>58</v>
      </c>
    </row>
    <row r="53" spans="2:4" x14ac:dyDescent="0.3">
      <c r="B53" t="s">
        <v>1330</v>
      </c>
      <c r="C53" s="40">
        <v>0.1</v>
      </c>
      <c r="D53" s="40" t="s">
        <v>58</v>
      </c>
    </row>
    <row r="54" spans="2:4" x14ac:dyDescent="0.3">
      <c r="B54" t="s">
        <v>1331</v>
      </c>
      <c r="C54" s="40">
        <v>0.01</v>
      </c>
      <c r="D54" s="40" t="s">
        <v>58</v>
      </c>
    </row>
    <row r="55" spans="2:4" x14ac:dyDescent="0.3">
      <c r="B55" t="s">
        <v>1332</v>
      </c>
      <c r="C55" s="40">
        <v>39.049999999999997</v>
      </c>
      <c r="D55" s="40" t="s">
        <v>67</v>
      </c>
    </row>
    <row r="56" spans="2:4" x14ac:dyDescent="0.3">
      <c r="B56" s="94" t="s">
        <v>96</v>
      </c>
      <c r="C56" s="94" t="s">
        <v>319</v>
      </c>
      <c r="D56" s="95" t="s">
        <v>832</v>
      </c>
    </row>
    <row r="57" spans="2:4" x14ac:dyDescent="0.3">
      <c r="B57" t="s">
        <v>1333</v>
      </c>
      <c r="C57" s="40">
        <v>65.72</v>
      </c>
      <c r="D57" s="40" t="s">
        <v>58</v>
      </c>
    </row>
    <row r="58" spans="2:4" x14ac:dyDescent="0.3">
      <c r="B58" t="s">
        <v>1334</v>
      </c>
      <c r="C58" s="40">
        <v>39.049999999999997</v>
      </c>
      <c r="D58" s="40" t="s">
        <v>58</v>
      </c>
    </row>
    <row r="59" spans="2:4" x14ac:dyDescent="0.3">
      <c r="C59" s="40"/>
    </row>
  </sheetData>
  <mergeCells count="8">
    <mergeCell ref="A5:D5"/>
    <mergeCell ref="A22:D22"/>
    <mergeCell ref="A39:D39"/>
    <mergeCell ref="A43:D43"/>
    <mergeCell ref="A7:D8"/>
    <mergeCell ref="A9:D10"/>
    <mergeCell ref="A12:D12"/>
    <mergeCell ref="A21:D21"/>
  </mergeCells>
  <pageMargins left="0.7" right="0.7" top="0.75" bottom="0.75" header="0.3" footer="0.3"/>
  <legacy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7BCEE4-8356-4A2A-B554-9525F83B5F46}">
  <dimension ref="A1:K321"/>
  <sheetViews>
    <sheetView topLeftCell="A99" workbookViewId="0">
      <selection activeCell="A103" sqref="A103"/>
    </sheetView>
  </sheetViews>
  <sheetFormatPr defaultRowHeight="14.4" x14ac:dyDescent="0.3"/>
  <cols>
    <col min="1" max="1" width="38.5546875" customWidth="1"/>
    <col min="2" max="2" width="48.33203125" customWidth="1"/>
    <col min="3" max="3" width="17.33203125" customWidth="1"/>
    <col min="4" max="4" width="14.33203125" style="40" customWidth="1"/>
    <col min="5" max="5" width="62.44140625" customWidth="1"/>
  </cols>
  <sheetData>
    <row r="1" spans="1:11" ht="31.5" customHeight="1" x14ac:dyDescent="0.3">
      <c r="A1" s="4" t="s">
        <v>1335</v>
      </c>
      <c r="B1" s="4" t="s">
        <v>1336</v>
      </c>
      <c r="C1" s="787" t="s">
        <v>1337</v>
      </c>
      <c r="D1" s="787"/>
      <c r="E1" s="787"/>
    </row>
    <row r="2" spans="1:11" ht="18.75" customHeight="1" x14ac:dyDescent="0.3">
      <c r="A2" s="4"/>
      <c r="B2" s="51" t="s">
        <v>1338</v>
      </c>
      <c r="C2" s="788"/>
      <c r="D2" s="788"/>
      <c r="E2" s="788"/>
    </row>
    <row r="3" spans="1:11" ht="18.75" customHeight="1" x14ac:dyDescent="0.3">
      <c r="A3" s="55" t="s">
        <v>1339</v>
      </c>
      <c r="B3" s="25"/>
      <c r="C3" s="56"/>
      <c r="D3" s="56"/>
      <c r="E3" s="56"/>
    </row>
    <row r="4" spans="1:11" x14ac:dyDescent="0.3">
      <c r="A4" s="42" t="s">
        <v>1340</v>
      </c>
      <c r="B4" s="23" t="s">
        <v>1341</v>
      </c>
      <c r="C4" s="52" t="s">
        <v>1342</v>
      </c>
      <c r="D4" s="44" t="s">
        <v>55</v>
      </c>
      <c r="E4" s="23" t="s">
        <v>1343</v>
      </c>
    </row>
    <row r="5" spans="1:11" x14ac:dyDescent="0.3">
      <c r="A5" s="7"/>
      <c r="B5" t="s">
        <v>1344</v>
      </c>
      <c r="C5" s="43">
        <v>25076.437900000001</v>
      </c>
      <c r="D5" s="40" t="s">
        <v>58</v>
      </c>
      <c r="E5" s="9" t="s">
        <v>1345</v>
      </c>
    </row>
    <row r="6" spans="1:11" s="45" customFormat="1" ht="28.8" x14ac:dyDescent="0.3">
      <c r="B6" s="45" t="s">
        <v>1346</v>
      </c>
      <c r="C6" s="46">
        <v>27072.3177</v>
      </c>
      <c r="D6" s="47" t="s">
        <v>58</v>
      </c>
      <c r="E6" s="48" t="s">
        <v>1347</v>
      </c>
    </row>
    <row r="7" spans="1:11" x14ac:dyDescent="0.3">
      <c r="B7" t="s">
        <v>1348</v>
      </c>
      <c r="C7" s="43">
        <v>716.46969999999999</v>
      </c>
      <c r="D7" s="40" t="s">
        <v>58</v>
      </c>
      <c r="E7" s="9" t="s">
        <v>1349</v>
      </c>
      <c r="H7" s="21"/>
      <c r="I7" s="26"/>
    </row>
    <row r="8" spans="1:11" ht="28.8" x14ac:dyDescent="0.3">
      <c r="B8" t="s">
        <v>1350</v>
      </c>
      <c r="C8" s="43">
        <v>24160.127</v>
      </c>
      <c r="D8" s="40" t="s">
        <v>1351</v>
      </c>
      <c r="E8" s="9" t="s">
        <v>1352</v>
      </c>
      <c r="H8" s="7"/>
      <c r="I8" s="7"/>
      <c r="J8" s="7"/>
      <c r="K8" s="7"/>
    </row>
    <row r="9" spans="1:11" x14ac:dyDescent="0.3">
      <c r="B9" t="s">
        <v>1353</v>
      </c>
      <c r="C9" s="43">
        <v>5420.0681999999997</v>
      </c>
      <c r="D9" s="40" t="s">
        <v>1351</v>
      </c>
      <c r="E9" s="9" t="s">
        <v>1354</v>
      </c>
    </row>
    <row r="10" spans="1:11" x14ac:dyDescent="0.3">
      <c r="B10" t="s">
        <v>1355</v>
      </c>
      <c r="C10" s="43">
        <v>67898.566999999995</v>
      </c>
      <c r="D10" s="40" t="s">
        <v>1351</v>
      </c>
      <c r="E10" s="9" t="s">
        <v>1356</v>
      </c>
    </row>
    <row r="11" spans="1:11" x14ac:dyDescent="0.3">
      <c r="B11" s="50" t="s">
        <v>1357</v>
      </c>
      <c r="C11">
        <v>72</v>
      </c>
      <c r="D11" s="40" t="s">
        <v>188</v>
      </c>
      <c r="E11" s="9" t="s">
        <v>1358</v>
      </c>
    </row>
    <row r="12" spans="1:11" ht="15.75" customHeight="1" x14ac:dyDescent="0.3">
      <c r="A12" s="45"/>
      <c r="B12" s="45" t="s">
        <v>1357</v>
      </c>
      <c r="C12" s="45">
        <v>28</v>
      </c>
      <c r="D12" s="47" t="s">
        <v>188</v>
      </c>
      <c r="E12" s="48" t="s">
        <v>1359</v>
      </c>
    </row>
    <row r="13" spans="1:11" x14ac:dyDescent="0.3">
      <c r="B13" s="50" t="s">
        <v>1357</v>
      </c>
      <c r="C13">
        <v>100</v>
      </c>
      <c r="D13" s="40" t="s">
        <v>188</v>
      </c>
      <c r="E13" s="9" t="s">
        <v>1360</v>
      </c>
    </row>
    <row r="14" spans="1:11" s="49" customFormat="1" ht="22.5" customHeight="1" x14ac:dyDescent="0.3">
      <c r="A14" s="53" t="s">
        <v>1361</v>
      </c>
      <c r="B14" s="54"/>
      <c r="C14" s="54"/>
      <c r="D14" s="54"/>
      <c r="E14" s="54"/>
    </row>
    <row r="15" spans="1:11" s="60" customFormat="1" x14ac:dyDescent="0.3">
      <c r="A15" s="59"/>
      <c r="D15" s="61"/>
    </row>
    <row r="16" spans="1:11" x14ac:dyDescent="0.3">
      <c r="A16" s="4"/>
      <c r="B16" s="4"/>
      <c r="C16" s="7"/>
    </row>
    <row r="17" spans="1:5" x14ac:dyDescent="0.3">
      <c r="A17" s="4" t="s">
        <v>1362</v>
      </c>
      <c r="B17" s="4" t="s">
        <v>1363</v>
      </c>
      <c r="C17" s="779" t="s">
        <v>1364</v>
      </c>
      <c r="D17" s="780"/>
      <c r="E17" s="781"/>
    </row>
    <row r="18" spans="1:5" x14ac:dyDescent="0.3">
      <c r="C18" s="782"/>
      <c r="D18" s="783"/>
      <c r="E18" s="784"/>
    </row>
    <row r="19" spans="1:5" x14ac:dyDescent="0.3">
      <c r="A19" t="s">
        <v>1365</v>
      </c>
    </row>
    <row r="30" spans="1:5" x14ac:dyDescent="0.3">
      <c r="B30" s="4"/>
      <c r="C30" s="4"/>
    </row>
    <row r="31" spans="1:5" x14ac:dyDescent="0.3">
      <c r="B31" s="4"/>
      <c r="C31" s="4"/>
    </row>
    <row r="32" spans="1:5" x14ac:dyDescent="0.3">
      <c r="B32" s="4"/>
      <c r="C32" s="4"/>
    </row>
    <row r="35" spans="1:5" s="60" customFormat="1" x14ac:dyDescent="0.3">
      <c r="D35" s="61"/>
    </row>
    <row r="36" spans="1:5" x14ac:dyDescent="0.3">
      <c r="E36" t="s">
        <v>1366</v>
      </c>
    </row>
    <row r="37" spans="1:5" x14ac:dyDescent="0.3">
      <c r="A37" s="4" t="s">
        <v>1367</v>
      </c>
      <c r="B37" s="15" t="s">
        <v>1368</v>
      </c>
      <c r="C37" s="8" t="s">
        <v>1369</v>
      </c>
    </row>
    <row r="38" spans="1:5" s="50" customFormat="1" ht="17.25" customHeight="1" x14ac:dyDescent="0.3">
      <c r="A38" s="72" t="s">
        <v>1370</v>
      </c>
      <c r="B38" s="73"/>
      <c r="C38" s="73"/>
      <c r="D38" s="74"/>
      <c r="E38" s="177" t="s">
        <v>1371</v>
      </c>
    </row>
    <row r="65" spans="1:4" s="60" customFormat="1" x14ac:dyDescent="0.3">
      <c r="D65" s="61"/>
    </row>
    <row r="66" spans="1:4" x14ac:dyDescent="0.3">
      <c r="A66" s="4" t="s">
        <v>1372</v>
      </c>
    </row>
    <row r="67" spans="1:4" x14ac:dyDescent="0.3">
      <c r="A67" s="4" t="s">
        <v>1373</v>
      </c>
    </row>
    <row r="69" spans="1:4" x14ac:dyDescent="0.3">
      <c r="A69" s="789" t="s">
        <v>1374</v>
      </c>
      <c r="B69" s="789"/>
    </row>
    <row r="70" spans="1:4" x14ac:dyDescent="0.3">
      <c r="A70" s="789"/>
      <c r="B70" s="789"/>
    </row>
    <row r="71" spans="1:4" x14ac:dyDescent="0.3">
      <c r="A71" t="s">
        <v>1375</v>
      </c>
    </row>
    <row r="72" spans="1:4" x14ac:dyDescent="0.3">
      <c r="A72" s="76" t="s">
        <v>1376</v>
      </c>
    </row>
    <row r="73" spans="1:4" x14ac:dyDescent="0.3">
      <c r="A73" s="76" t="s">
        <v>1377</v>
      </c>
    </row>
    <row r="74" spans="1:4" x14ac:dyDescent="0.3">
      <c r="A74" t="s">
        <v>1378</v>
      </c>
    </row>
    <row r="75" spans="1:4" x14ac:dyDescent="0.3">
      <c r="A75" s="76" t="s">
        <v>1379</v>
      </c>
    </row>
    <row r="76" spans="1:4" x14ac:dyDescent="0.3">
      <c r="A76" t="s">
        <v>1380</v>
      </c>
    </row>
    <row r="78" spans="1:4" s="60" customFormat="1" x14ac:dyDescent="0.3">
      <c r="D78" s="61"/>
    </row>
    <row r="79" spans="1:4" x14ac:dyDescent="0.3">
      <c r="A79" s="7" t="s">
        <v>1381</v>
      </c>
      <c r="B79" s="7" t="s">
        <v>1382</v>
      </c>
      <c r="D79"/>
    </row>
    <row r="80" spans="1:4" x14ac:dyDescent="0.3">
      <c r="A80" t="s">
        <v>1383</v>
      </c>
      <c r="B80" s="168" t="s">
        <v>1384</v>
      </c>
    </row>
    <row r="81" spans="1:5" x14ac:dyDescent="0.3">
      <c r="B81" s="7"/>
    </row>
    <row r="82" spans="1:5" ht="15.6" x14ac:dyDescent="0.3">
      <c r="A82" s="133" t="s">
        <v>1385</v>
      </c>
      <c r="B82" s="99"/>
      <c r="C82" s="99"/>
    </row>
    <row r="83" spans="1:5" ht="15.6" x14ac:dyDescent="0.3">
      <c r="A83" s="134" t="s">
        <v>1386</v>
      </c>
      <c r="B83" s="99"/>
      <c r="C83" s="99"/>
    </row>
    <row r="84" spans="1:5" ht="22.5" customHeight="1" x14ac:dyDescent="0.3">
      <c r="A84" s="790" t="s">
        <v>1387</v>
      </c>
      <c r="B84" s="791"/>
      <c r="C84" s="791"/>
      <c r="D84" s="791"/>
    </row>
    <row r="85" spans="1:5" ht="21" customHeight="1" x14ac:dyDescent="0.3">
      <c r="A85" s="94" t="s">
        <v>54</v>
      </c>
      <c r="B85" s="94" t="s">
        <v>319</v>
      </c>
      <c r="C85" s="95" t="s">
        <v>832</v>
      </c>
      <c r="D85" s="95" t="s">
        <v>1184</v>
      </c>
    </row>
    <row r="86" spans="1:5" x14ac:dyDescent="0.3">
      <c r="A86" s="92" t="s">
        <v>1388</v>
      </c>
      <c r="B86" s="135">
        <v>580</v>
      </c>
      <c r="C86" s="92" t="s">
        <v>1389</v>
      </c>
      <c r="D86" s="92" t="s">
        <v>1390</v>
      </c>
    </row>
    <row r="87" spans="1:5" x14ac:dyDescent="0.3">
      <c r="A87" s="92" t="s">
        <v>1391</v>
      </c>
      <c r="B87" s="135">
        <v>225.61</v>
      </c>
      <c r="C87" s="92" t="s">
        <v>1392</v>
      </c>
      <c r="D87" s="92" t="s">
        <v>1390</v>
      </c>
    </row>
    <row r="88" spans="1:5" x14ac:dyDescent="0.3">
      <c r="A88" s="92" t="s">
        <v>1296</v>
      </c>
      <c r="B88" s="135">
        <v>2.71</v>
      </c>
      <c r="C88" s="92" t="s">
        <v>88</v>
      </c>
      <c r="D88" s="92" t="s">
        <v>1390</v>
      </c>
    </row>
    <row r="89" spans="1:5" ht="18.75" customHeight="1" x14ac:dyDescent="0.3">
      <c r="A89" s="49" t="s">
        <v>1393</v>
      </c>
      <c r="B89" s="3">
        <v>0.09</v>
      </c>
      <c r="C89" s="49" t="s">
        <v>88</v>
      </c>
      <c r="D89" s="92" t="s">
        <v>1390</v>
      </c>
    </row>
    <row r="90" spans="1:5" x14ac:dyDescent="0.3">
      <c r="A90" t="s">
        <v>1394</v>
      </c>
      <c r="B90" s="3">
        <v>58</v>
      </c>
      <c r="C90" s="90" t="s">
        <v>1395</v>
      </c>
      <c r="D90" s="92" t="s">
        <v>1390</v>
      </c>
      <c r="E90" s="40"/>
    </row>
    <row r="91" spans="1:5" x14ac:dyDescent="0.3">
      <c r="A91" t="s">
        <v>1396</v>
      </c>
      <c r="B91" s="162">
        <v>5.6400000000000002E-6</v>
      </c>
      <c r="C91" s="90" t="s">
        <v>351</v>
      </c>
      <c r="D91" s="90" t="s">
        <v>1397</v>
      </c>
    </row>
    <row r="92" spans="1:5" x14ac:dyDescent="0.3">
      <c r="A92" s="94" t="s">
        <v>83</v>
      </c>
      <c r="B92" s="94" t="s">
        <v>319</v>
      </c>
      <c r="C92" s="95" t="s">
        <v>832</v>
      </c>
      <c r="D92" s="95" t="s">
        <v>1184</v>
      </c>
    </row>
    <row r="93" spans="1:5" x14ac:dyDescent="0.3">
      <c r="A93" s="7" t="s">
        <v>629</v>
      </c>
      <c r="B93" s="131">
        <v>53</v>
      </c>
      <c r="C93" s="131" t="s">
        <v>1398</v>
      </c>
      <c r="D93" s="90" t="s">
        <v>1397</v>
      </c>
    </row>
    <row r="94" spans="1:5" x14ac:dyDescent="0.3">
      <c r="A94" s="94" t="s">
        <v>273</v>
      </c>
      <c r="B94" s="94" t="s">
        <v>319</v>
      </c>
      <c r="C94" s="154" t="s">
        <v>832</v>
      </c>
      <c r="D94" s="95" t="s">
        <v>1184</v>
      </c>
    </row>
    <row r="95" spans="1:5" x14ac:dyDescent="0.3">
      <c r="A95" s="139" t="s">
        <v>1399</v>
      </c>
      <c r="B95" s="1"/>
      <c r="C95" s="155"/>
      <c r="D95" s="137"/>
    </row>
    <row r="96" spans="1:5" x14ac:dyDescent="0.3">
      <c r="A96" t="s">
        <v>1400</v>
      </c>
      <c r="B96" s="3">
        <v>1.58</v>
      </c>
      <c r="C96" s="49" t="s">
        <v>88</v>
      </c>
      <c r="D96" s="90" t="s">
        <v>1397</v>
      </c>
    </row>
    <row r="97" spans="1:4" x14ac:dyDescent="0.3">
      <c r="A97" s="139" t="s">
        <v>96</v>
      </c>
      <c r="B97" s="1"/>
      <c r="C97" s="155"/>
      <c r="D97" s="137"/>
    </row>
    <row r="98" spans="1:4" ht="19.5" customHeight="1" x14ac:dyDescent="0.3">
      <c r="A98" s="140" t="s">
        <v>273</v>
      </c>
      <c r="B98" s="132">
        <v>7.0000000000000007E-2</v>
      </c>
      <c r="C98" s="140" t="s">
        <v>88</v>
      </c>
      <c r="D98" s="90" t="s">
        <v>1397</v>
      </c>
    </row>
    <row r="99" spans="1:4" x14ac:dyDescent="0.3">
      <c r="A99" s="131"/>
      <c r="B99" s="131"/>
      <c r="C99" s="88"/>
      <c r="D99" s="131"/>
    </row>
    <row r="100" spans="1:4" ht="18.75" customHeight="1" x14ac:dyDescent="0.3">
      <c r="A100" s="792" t="s">
        <v>1401</v>
      </c>
      <c r="B100" s="793"/>
      <c r="C100" s="793"/>
      <c r="D100" s="793"/>
    </row>
    <row r="101" spans="1:4" x14ac:dyDescent="0.3">
      <c r="A101" s="94" t="s">
        <v>54</v>
      </c>
      <c r="B101" s="94" t="s">
        <v>319</v>
      </c>
      <c r="C101" s="95" t="s">
        <v>832</v>
      </c>
      <c r="D101" s="95" t="s">
        <v>1184</v>
      </c>
    </row>
    <row r="102" spans="1:4" x14ac:dyDescent="0.3">
      <c r="A102" t="s">
        <v>1402</v>
      </c>
      <c r="B102" s="3">
        <v>53</v>
      </c>
      <c r="C102" s="40" t="s">
        <v>1403</v>
      </c>
      <c r="D102" s="3" t="s">
        <v>1397</v>
      </c>
    </row>
    <row r="103" spans="1:4" ht="28.8" x14ac:dyDescent="0.3">
      <c r="A103" t="s">
        <v>69</v>
      </c>
      <c r="B103" s="40">
        <v>318</v>
      </c>
      <c r="C103" s="101" t="s">
        <v>1404</v>
      </c>
      <c r="D103" s="3" t="s">
        <v>1390</v>
      </c>
    </row>
    <row r="104" spans="1:4" x14ac:dyDescent="0.3">
      <c r="A104" t="s">
        <v>1405</v>
      </c>
      <c r="B104" s="40">
        <v>63.8</v>
      </c>
      <c r="C104" s="40" t="s">
        <v>1406</v>
      </c>
      <c r="D104" s="3" t="s">
        <v>1390</v>
      </c>
    </row>
    <row r="105" spans="1:4" x14ac:dyDescent="0.3">
      <c r="A105" t="s">
        <v>1407</v>
      </c>
      <c r="B105" s="40">
        <v>29</v>
      </c>
      <c r="C105" s="40" t="s">
        <v>1406</v>
      </c>
      <c r="D105" s="3" t="s">
        <v>1390</v>
      </c>
    </row>
    <row r="106" spans="1:4" x14ac:dyDescent="0.3">
      <c r="A106" t="s">
        <v>1408</v>
      </c>
      <c r="B106" s="40">
        <v>0.46</v>
      </c>
      <c r="C106" s="40" t="s">
        <v>1406</v>
      </c>
      <c r="D106" s="3" t="s">
        <v>1390</v>
      </c>
    </row>
    <row r="107" spans="1:4" x14ac:dyDescent="0.3">
      <c r="A107" t="s">
        <v>1409</v>
      </c>
      <c r="B107" s="40">
        <v>0.28999999999999998</v>
      </c>
      <c r="C107" s="40" t="s">
        <v>1406</v>
      </c>
      <c r="D107" s="3" t="s">
        <v>1390</v>
      </c>
    </row>
    <row r="108" spans="1:4" x14ac:dyDescent="0.3">
      <c r="A108" t="s">
        <v>1391</v>
      </c>
      <c r="B108" s="40">
        <v>4.51</v>
      </c>
      <c r="C108" s="40" t="s">
        <v>810</v>
      </c>
      <c r="D108" s="3" t="s">
        <v>1390</v>
      </c>
    </row>
    <row r="109" spans="1:4" x14ac:dyDescent="0.3">
      <c r="A109" t="s">
        <v>1410</v>
      </c>
      <c r="B109" s="40">
        <v>3.16</v>
      </c>
      <c r="C109" s="40" t="s">
        <v>143</v>
      </c>
      <c r="D109" s="3" t="s">
        <v>1390</v>
      </c>
    </row>
    <row r="110" spans="1:4" x14ac:dyDescent="0.3">
      <c r="A110" s="28" t="s">
        <v>1411</v>
      </c>
      <c r="B110" s="138"/>
      <c r="C110" s="156"/>
      <c r="D110" s="138"/>
    </row>
    <row r="111" spans="1:4" x14ac:dyDescent="0.3">
      <c r="A111" t="s">
        <v>1401</v>
      </c>
      <c r="B111" s="161">
        <v>2.9000000000000001E-2</v>
      </c>
      <c r="C111" s="47" t="s">
        <v>351</v>
      </c>
      <c r="D111" s="3" t="s">
        <v>1397</v>
      </c>
    </row>
    <row r="112" spans="1:4" x14ac:dyDescent="0.3">
      <c r="A112" t="s">
        <v>1412</v>
      </c>
      <c r="B112" s="161">
        <v>1.6E-2</v>
      </c>
      <c r="C112" s="47" t="s">
        <v>351</v>
      </c>
      <c r="D112" s="3" t="s">
        <v>1397</v>
      </c>
    </row>
    <row r="113" spans="1:4" x14ac:dyDescent="0.3">
      <c r="A113" s="94" t="s">
        <v>1413</v>
      </c>
      <c r="B113" s="94" t="s">
        <v>319</v>
      </c>
      <c r="C113" s="95" t="s">
        <v>832</v>
      </c>
      <c r="D113" s="95" t="s">
        <v>1184</v>
      </c>
    </row>
    <row r="114" spans="1:4" x14ac:dyDescent="0.3">
      <c r="A114" s="139" t="s">
        <v>1399</v>
      </c>
      <c r="B114" s="1"/>
      <c r="C114" s="155"/>
      <c r="D114" s="137"/>
    </row>
    <row r="115" spans="1:4" x14ac:dyDescent="0.3">
      <c r="A115" t="s">
        <v>1400</v>
      </c>
      <c r="B115" s="3">
        <v>0.26</v>
      </c>
      <c r="C115" s="49" t="s">
        <v>58</v>
      </c>
      <c r="D115" s="90" t="s">
        <v>1397</v>
      </c>
    </row>
    <row r="116" spans="1:4" x14ac:dyDescent="0.3">
      <c r="A116" s="139" t="s">
        <v>96</v>
      </c>
      <c r="B116" s="1"/>
      <c r="C116" s="155"/>
      <c r="D116" s="137"/>
    </row>
    <row r="117" spans="1:4" x14ac:dyDescent="0.3">
      <c r="A117" s="157" t="s">
        <v>273</v>
      </c>
      <c r="B117" s="158">
        <v>6.77E-3</v>
      </c>
      <c r="C117" s="157" t="s">
        <v>58</v>
      </c>
      <c r="D117" s="90" t="s">
        <v>1397</v>
      </c>
    </row>
    <row r="118" spans="1:4" x14ac:dyDescent="0.3">
      <c r="B118" s="7"/>
      <c r="C118" s="96"/>
      <c r="D118" s="93"/>
    </row>
    <row r="119" spans="1:4" ht="18.75" customHeight="1" x14ac:dyDescent="0.3">
      <c r="A119" s="792" t="s">
        <v>1414</v>
      </c>
      <c r="B119" s="793"/>
      <c r="C119" s="793"/>
      <c r="D119" s="793"/>
    </row>
    <row r="120" spans="1:4" x14ac:dyDescent="0.3">
      <c r="A120" s="94" t="s">
        <v>54</v>
      </c>
      <c r="B120" s="94" t="s">
        <v>319</v>
      </c>
      <c r="C120" s="95" t="s">
        <v>832</v>
      </c>
      <c r="D120" s="95" t="s">
        <v>1184</v>
      </c>
    </row>
    <row r="121" spans="1:4" x14ac:dyDescent="0.3">
      <c r="A121" t="s">
        <v>1391</v>
      </c>
      <c r="B121" s="40">
        <v>83.47</v>
      </c>
      <c r="C121" s="40" t="s">
        <v>810</v>
      </c>
      <c r="D121" t="s">
        <v>1397</v>
      </c>
    </row>
    <row r="122" spans="1:4" x14ac:dyDescent="0.3">
      <c r="A122" s="9" t="s">
        <v>1415</v>
      </c>
      <c r="B122" s="3">
        <v>3282.8</v>
      </c>
      <c r="C122" s="3" t="s">
        <v>361</v>
      </c>
      <c r="D122" s="40" t="s">
        <v>1397</v>
      </c>
    </row>
    <row r="123" spans="1:4" x14ac:dyDescent="0.3">
      <c r="A123" s="94" t="s">
        <v>1413</v>
      </c>
      <c r="B123" s="94" t="s">
        <v>319</v>
      </c>
      <c r="C123" s="95" t="s">
        <v>832</v>
      </c>
      <c r="D123" s="95" t="s">
        <v>1184</v>
      </c>
    </row>
    <row r="124" spans="1:4" x14ac:dyDescent="0.3">
      <c r="A124" s="139" t="s">
        <v>1399</v>
      </c>
      <c r="B124" s="1"/>
      <c r="C124" s="155"/>
      <c r="D124" s="137"/>
    </row>
    <row r="125" spans="1:4" x14ac:dyDescent="0.3">
      <c r="A125" t="s">
        <v>1400</v>
      </c>
      <c r="B125" s="3">
        <v>5.42</v>
      </c>
      <c r="C125" s="49" t="s">
        <v>58</v>
      </c>
      <c r="D125" s="90" t="s">
        <v>1397</v>
      </c>
    </row>
    <row r="126" spans="1:4" x14ac:dyDescent="0.3">
      <c r="A126" t="s">
        <v>1416</v>
      </c>
      <c r="B126" s="3">
        <v>263.95999999999998</v>
      </c>
      <c r="C126" s="49" t="s">
        <v>58</v>
      </c>
      <c r="D126" s="90" t="s">
        <v>1397</v>
      </c>
    </row>
    <row r="127" spans="1:4" x14ac:dyDescent="0.3">
      <c r="A127" s="139" t="s">
        <v>96</v>
      </c>
      <c r="B127" s="1"/>
      <c r="C127" s="155"/>
      <c r="D127" s="137"/>
    </row>
    <row r="128" spans="1:4" x14ac:dyDescent="0.3">
      <c r="A128" s="157" t="s">
        <v>273</v>
      </c>
      <c r="B128" s="158">
        <v>2.48</v>
      </c>
      <c r="C128" s="157" t="s">
        <v>58</v>
      </c>
      <c r="D128" s="90" t="s">
        <v>1397</v>
      </c>
    </row>
    <row r="129" spans="1:4" x14ac:dyDescent="0.3">
      <c r="C129" s="40"/>
    </row>
    <row r="130" spans="1:4" ht="18.75" customHeight="1" x14ac:dyDescent="0.3">
      <c r="A130" s="775" t="s">
        <v>1417</v>
      </c>
      <c r="B130" s="776"/>
      <c r="C130" s="776"/>
      <c r="D130" s="776"/>
    </row>
    <row r="131" spans="1:4" x14ac:dyDescent="0.3">
      <c r="A131" s="94" t="s">
        <v>54</v>
      </c>
      <c r="B131" s="94" t="s">
        <v>319</v>
      </c>
      <c r="C131" s="95" t="s">
        <v>832</v>
      </c>
      <c r="D131" s="95" t="s">
        <v>1184</v>
      </c>
    </row>
    <row r="132" spans="1:4" x14ac:dyDescent="0.3">
      <c r="A132" t="s">
        <v>81</v>
      </c>
      <c r="B132" s="3">
        <v>168</v>
      </c>
      <c r="C132" s="40" t="s">
        <v>58</v>
      </c>
      <c r="D132" s="40" t="s">
        <v>1397</v>
      </c>
    </row>
    <row r="133" spans="1:4" x14ac:dyDescent="0.3">
      <c r="A133" s="94" t="s">
        <v>1413</v>
      </c>
      <c r="B133" s="94" t="s">
        <v>319</v>
      </c>
      <c r="C133" s="95" t="s">
        <v>832</v>
      </c>
      <c r="D133" s="95" t="s">
        <v>1184</v>
      </c>
    </row>
    <row r="134" spans="1:4" x14ac:dyDescent="0.3">
      <c r="A134" s="139" t="s">
        <v>1399</v>
      </c>
      <c r="B134" s="1"/>
      <c r="C134" s="155"/>
      <c r="D134" s="137"/>
    </row>
    <row r="135" spans="1:4" x14ac:dyDescent="0.3">
      <c r="A135" t="s">
        <v>1418</v>
      </c>
      <c r="B135" s="3">
        <v>1.33</v>
      </c>
      <c r="C135" s="49" t="s">
        <v>58</v>
      </c>
      <c r="D135" s="90" t="s">
        <v>1397</v>
      </c>
    </row>
    <row r="136" spans="1:4" x14ac:dyDescent="0.3">
      <c r="A136" t="s">
        <v>97</v>
      </c>
      <c r="B136" s="3">
        <v>529.20000000000005</v>
      </c>
      <c r="C136" s="49" t="s">
        <v>58</v>
      </c>
      <c r="D136" s="90" t="s">
        <v>1397</v>
      </c>
    </row>
    <row r="137" spans="1:4" x14ac:dyDescent="0.3">
      <c r="A137" t="s">
        <v>1419</v>
      </c>
      <c r="B137" s="3">
        <v>0.27</v>
      </c>
      <c r="C137" s="49" t="s">
        <v>88</v>
      </c>
      <c r="D137" s="40" t="s">
        <v>1420</v>
      </c>
    </row>
    <row r="138" spans="1:4" x14ac:dyDescent="0.3">
      <c r="A138" t="s">
        <v>1421</v>
      </c>
      <c r="B138" s="3">
        <v>6.89</v>
      </c>
      <c r="C138" t="s">
        <v>58</v>
      </c>
      <c r="D138" s="90" t="s">
        <v>1397</v>
      </c>
    </row>
    <row r="139" spans="1:4" x14ac:dyDescent="0.3">
      <c r="A139" t="s">
        <v>1422</v>
      </c>
      <c r="B139" s="3">
        <v>352.8</v>
      </c>
      <c r="C139" t="s">
        <v>88</v>
      </c>
      <c r="D139" s="90" t="s">
        <v>1397</v>
      </c>
    </row>
    <row r="140" spans="1:4" x14ac:dyDescent="0.3">
      <c r="A140" t="s">
        <v>1423</v>
      </c>
      <c r="B140" s="3">
        <v>436.8</v>
      </c>
      <c r="C140" t="s">
        <v>88</v>
      </c>
      <c r="D140" s="90" t="s">
        <v>1397</v>
      </c>
    </row>
    <row r="141" spans="1:4" x14ac:dyDescent="0.3">
      <c r="A141" s="139" t="s">
        <v>1424</v>
      </c>
      <c r="B141" s="163"/>
      <c r="C141" s="155"/>
      <c r="D141" s="137"/>
    </row>
    <row r="142" spans="1:4" x14ac:dyDescent="0.3">
      <c r="A142" t="s">
        <v>1425</v>
      </c>
      <c r="B142" s="3">
        <v>7.6299999999999996E-3</v>
      </c>
      <c r="C142" t="s">
        <v>1426</v>
      </c>
      <c r="D142" s="90" t="s">
        <v>1397</v>
      </c>
    </row>
    <row r="143" spans="1:4" x14ac:dyDescent="0.3">
      <c r="B143" s="50"/>
    </row>
    <row r="144" spans="1:4" ht="15.6" x14ac:dyDescent="0.3">
      <c r="A144" s="164" t="s">
        <v>1427</v>
      </c>
      <c r="B144" s="36"/>
      <c r="C144" s="36"/>
      <c r="D144" s="165"/>
    </row>
    <row r="145" spans="1:4" ht="15.6" x14ac:dyDescent="0.3">
      <c r="A145" s="166" t="s">
        <v>1386</v>
      </c>
      <c r="B145" s="36"/>
      <c r="C145" s="36"/>
      <c r="D145" s="165"/>
    </row>
    <row r="147" spans="1:4" ht="18.75" customHeight="1" x14ac:dyDescent="0.3">
      <c r="A147" s="777" t="s">
        <v>1428</v>
      </c>
      <c r="B147" s="778"/>
      <c r="C147" s="778"/>
      <c r="D147" s="778"/>
    </row>
    <row r="148" spans="1:4" x14ac:dyDescent="0.3">
      <c r="A148" s="94" t="s">
        <v>54</v>
      </c>
      <c r="B148" s="94" t="s">
        <v>319</v>
      </c>
      <c r="C148" s="95" t="s">
        <v>832</v>
      </c>
      <c r="D148" s="95" t="s">
        <v>1184</v>
      </c>
    </row>
    <row r="149" spans="1:4" x14ac:dyDescent="0.3">
      <c r="A149" s="135" t="s">
        <v>1429</v>
      </c>
      <c r="B149" s="3">
        <v>168</v>
      </c>
      <c r="C149" s="49" t="s">
        <v>58</v>
      </c>
      <c r="D149" s="3" t="s">
        <v>1390</v>
      </c>
    </row>
    <row r="150" spans="1:4" x14ac:dyDescent="0.3">
      <c r="A150" t="s">
        <v>1430</v>
      </c>
      <c r="B150" s="3">
        <v>23.38</v>
      </c>
      <c r="C150" t="s">
        <v>67</v>
      </c>
      <c r="D150" s="40" t="s">
        <v>1431</v>
      </c>
    </row>
    <row r="151" spans="1:4" x14ac:dyDescent="0.3">
      <c r="A151" t="s">
        <v>1432</v>
      </c>
      <c r="B151" s="3">
        <v>1.92</v>
      </c>
      <c r="C151" t="s">
        <v>58</v>
      </c>
      <c r="D151" s="40" t="s">
        <v>1390</v>
      </c>
    </row>
    <row r="152" spans="1:4" x14ac:dyDescent="0.3">
      <c r="A152" t="s">
        <v>1433</v>
      </c>
      <c r="B152" s="3">
        <v>6.22</v>
      </c>
      <c r="C152" t="s">
        <v>58</v>
      </c>
      <c r="D152" s="40" t="s">
        <v>1390</v>
      </c>
    </row>
    <row r="153" spans="1:4" x14ac:dyDescent="0.3">
      <c r="A153" s="168" t="s">
        <v>1434</v>
      </c>
      <c r="B153" s="3">
        <v>0.55000000000000004</v>
      </c>
      <c r="C153" t="s">
        <v>58</v>
      </c>
      <c r="D153" s="40" t="s">
        <v>1390</v>
      </c>
    </row>
    <row r="154" spans="1:4" x14ac:dyDescent="0.3">
      <c r="A154" t="s">
        <v>1311</v>
      </c>
      <c r="B154" s="3">
        <v>10.039999999999999</v>
      </c>
      <c r="C154" t="s">
        <v>58</v>
      </c>
      <c r="D154" s="40" t="s">
        <v>1390</v>
      </c>
    </row>
    <row r="155" spans="1:4" x14ac:dyDescent="0.3">
      <c r="A155" t="s">
        <v>1435</v>
      </c>
      <c r="B155" s="3">
        <v>10.78</v>
      </c>
      <c r="C155" t="s">
        <v>58</v>
      </c>
      <c r="D155" s="40" t="s">
        <v>1390</v>
      </c>
    </row>
    <row r="156" spans="1:4" x14ac:dyDescent="0.3">
      <c r="A156" t="s">
        <v>1436</v>
      </c>
      <c r="B156" s="3">
        <v>4.88</v>
      </c>
      <c r="C156" t="s">
        <v>58</v>
      </c>
      <c r="D156" s="40" t="s">
        <v>1390</v>
      </c>
    </row>
    <row r="157" spans="1:4" x14ac:dyDescent="0.3">
      <c r="A157" t="s">
        <v>1437</v>
      </c>
      <c r="B157" s="3">
        <v>12.11</v>
      </c>
      <c r="C157" t="s">
        <v>58</v>
      </c>
      <c r="D157" s="40" t="s">
        <v>1390</v>
      </c>
    </row>
    <row r="158" spans="1:4" x14ac:dyDescent="0.3">
      <c r="A158" t="s">
        <v>1438</v>
      </c>
      <c r="B158" s="3">
        <v>6.39</v>
      </c>
      <c r="C158" t="s">
        <v>58</v>
      </c>
      <c r="D158" s="40" t="s">
        <v>1390</v>
      </c>
    </row>
    <row r="159" spans="1:4" x14ac:dyDescent="0.3">
      <c r="A159" t="s">
        <v>1439</v>
      </c>
      <c r="B159" s="3">
        <v>8.14</v>
      </c>
      <c r="C159" t="s">
        <v>58</v>
      </c>
      <c r="D159" s="40" t="s">
        <v>1390</v>
      </c>
    </row>
    <row r="160" spans="1:4" x14ac:dyDescent="0.3">
      <c r="A160" s="168" t="s">
        <v>1440</v>
      </c>
      <c r="B160" s="3">
        <v>1.47</v>
      </c>
      <c r="C160" t="s">
        <v>58</v>
      </c>
      <c r="D160" s="40" t="s">
        <v>1390</v>
      </c>
    </row>
    <row r="161" spans="1:4" x14ac:dyDescent="0.3">
      <c r="A161" t="s">
        <v>1441</v>
      </c>
      <c r="B161" s="3">
        <v>1.75</v>
      </c>
      <c r="C161" t="s">
        <v>58</v>
      </c>
      <c r="D161" s="40" t="s">
        <v>1390</v>
      </c>
    </row>
    <row r="162" spans="1:4" x14ac:dyDescent="0.3">
      <c r="A162" s="28" t="s">
        <v>1442</v>
      </c>
      <c r="B162" s="163"/>
      <c r="C162" s="1"/>
      <c r="D162" s="136"/>
    </row>
    <row r="163" spans="1:4" x14ac:dyDescent="0.3">
      <c r="A163" t="s">
        <v>1443</v>
      </c>
      <c r="B163" s="3">
        <v>19.98</v>
      </c>
      <c r="C163" t="s">
        <v>76</v>
      </c>
      <c r="D163" s="40" t="s">
        <v>1444</v>
      </c>
    </row>
    <row r="164" spans="1:4" ht="28.8" x14ac:dyDescent="0.3">
      <c r="A164" s="9" t="s">
        <v>1445</v>
      </c>
      <c r="B164" s="3">
        <v>83.25</v>
      </c>
      <c r="C164" t="s">
        <v>76</v>
      </c>
      <c r="D164" s="40" t="s">
        <v>1444</v>
      </c>
    </row>
    <row r="165" spans="1:4" x14ac:dyDescent="0.3">
      <c r="A165" t="s">
        <v>1446</v>
      </c>
      <c r="B165" s="3">
        <v>19.98</v>
      </c>
      <c r="C165" t="s">
        <v>76</v>
      </c>
      <c r="D165" s="40" t="s">
        <v>1444</v>
      </c>
    </row>
    <row r="166" spans="1:4" x14ac:dyDescent="0.3">
      <c r="A166" s="167" t="s">
        <v>1447</v>
      </c>
      <c r="B166" s="3">
        <v>117.48</v>
      </c>
      <c r="C166" t="s">
        <v>76</v>
      </c>
      <c r="D166" s="40" t="s">
        <v>1444</v>
      </c>
    </row>
    <row r="167" spans="1:4" x14ac:dyDescent="0.3">
      <c r="A167" s="167" t="s">
        <v>1448</v>
      </c>
      <c r="B167" s="3">
        <v>135.87</v>
      </c>
      <c r="C167" t="s">
        <v>76</v>
      </c>
      <c r="D167" s="40" t="s">
        <v>1444</v>
      </c>
    </row>
    <row r="168" spans="1:4" x14ac:dyDescent="0.3">
      <c r="A168" s="28" t="s">
        <v>1449</v>
      </c>
      <c r="B168" s="163"/>
      <c r="C168" s="1"/>
      <c r="D168" s="136"/>
    </row>
    <row r="169" spans="1:4" x14ac:dyDescent="0.3">
      <c r="A169" t="s">
        <v>1450</v>
      </c>
      <c r="B169" s="3">
        <v>3.67</v>
      </c>
      <c r="C169" t="s">
        <v>1320</v>
      </c>
      <c r="D169" s="40" t="s">
        <v>1444</v>
      </c>
    </row>
    <row r="170" spans="1:4" x14ac:dyDescent="0.3">
      <c r="A170" t="s">
        <v>1451</v>
      </c>
      <c r="B170" s="3">
        <v>2.88</v>
      </c>
      <c r="C170" t="s">
        <v>1320</v>
      </c>
      <c r="D170" s="40" t="s">
        <v>1444</v>
      </c>
    </row>
    <row r="171" spans="1:4" x14ac:dyDescent="0.3">
      <c r="A171" s="28" t="s">
        <v>1452</v>
      </c>
      <c r="B171" s="163"/>
      <c r="C171" s="1"/>
      <c r="D171" s="136"/>
    </row>
    <row r="172" spans="1:4" x14ac:dyDescent="0.3">
      <c r="A172" t="s">
        <v>1453</v>
      </c>
      <c r="B172" s="3">
        <v>25</v>
      </c>
      <c r="C172" t="s">
        <v>351</v>
      </c>
      <c r="D172" s="40" t="s">
        <v>1390</v>
      </c>
    </row>
    <row r="173" spans="1:4" x14ac:dyDescent="0.3">
      <c r="A173" s="94" t="s">
        <v>83</v>
      </c>
      <c r="B173" s="94" t="s">
        <v>319</v>
      </c>
      <c r="C173" s="95" t="s">
        <v>832</v>
      </c>
      <c r="D173" s="95" t="s">
        <v>1184</v>
      </c>
    </row>
    <row r="174" spans="1:4" x14ac:dyDescent="0.3">
      <c r="A174" t="s">
        <v>1454</v>
      </c>
      <c r="B174" s="3">
        <v>823.46</v>
      </c>
      <c r="C174" t="s">
        <v>58</v>
      </c>
      <c r="D174" s="40" t="s">
        <v>1390</v>
      </c>
    </row>
    <row r="175" spans="1:4" x14ac:dyDescent="0.3">
      <c r="A175" s="94" t="s">
        <v>1413</v>
      </c>
      <c r="B175" s="94" t="s">
        <v>319</v>
      </c>
      <c r="C175" s="95" t="s">
        <v>832</v>
      </c>
      <c r="D175" s="95" t="s">
        <v>1184</v>
      </c>
    </row>
    <row r="176" spans="1:4" x14ac:dyDescent="0.3">
      <c r="A176" s="139" t="s">
        <v>1399</v>
      </c>
      <c r="B176" s="1"/>
      <c r="C176" s="155"/>
      <c r="D176" s="137"/>
    </row>
    <row r="177" spans="1:4" ht="28.8" x14ac:dyDescent="0.3">
      <c r="A177" s="75" t="s">
        <v>1455</v>
      </c>
      <c r="B177" s="3">
        <v>0.3</v>
      </c>
      <c r="C177" s="49" t="s">
        <v>58</v>
      </c>
      <c r="D177" s="49" t="s">
        <v>1390</v>
      </c>
    </row>
    <row r="178" spans="1:4" x14ac:dyDescent="0.3">
      <c r="A178" t="s">
        <v>1456</v>
      </c>
      <c r="B178" s="162">
        <v>3.6999999999999998E-2</v>
      </c>
      <c r="C178" s="49" t="s">
        <v>58</v>
      </c>
      <c r="D178" s="49" t="s">
        <v>1390</v>
      </c>
    </row>
    <row r="179" spans="1:4" x14ac:dyDescent="0.3">
      <c r="A179" t="s">
        <v>1457</v>
      </c>
      <c r="B179" s="162">
        <v>5.8000000000000003E-2</v>
      </c>
      <c r="C179" s="49" t="s">
        <v>58</v>
      </c>
      <c r="D179" s="49" t="s">
        <v>1390</v>
      </c>
    </row>
    <row r="180" spans="1:4" x14ac:dyDescent="0.3">
      <c r="A180" s="139" t="s">
        <v>1458</v>
      </c>
      <c r="B180" s="1"/>
      <c r="C180" s="155"/>
      <c r="D180" s="137"/>
    </row>
    <row r="181" spans="1:4" x14ac:dyDescent="0.3">
      <c r="A181" t="s">
        <v>1459</v>
      </c>
      <c r="B181" s="3">
        <v>1.28</v>
      </c>
      <c r="C181" t="s">
        <v>67</v>
      </c>
      <c r="D181" s="40" t="s">
        <v>1390</v>
      </c>
    </row>
    <row r="182" spans="1:4" x14ac:dyDescent="0.3">
      <c r="A182" t="s">
        <v>1460</v>
      </c>
      <c r="B182" s="3">
        <v>1</v>
      </c>
      <c r="C182" t="s">
        <v>67</v>
      </c>
      <c r="D182" s="40" t="s">
        <v>1390</v>
      </c>
    </row>
    <row r="183" spans="1:4" x14ac:dyDescent="0.3">
      <c r="A183" t="s">
        <v>1461</v>
      </c>
      <c r="B183" s="3">
        <v>2.85</v>
      </c>
      <c r="C183" t="s">
        <v>67</v>
      </c>
      <c r="D183" s="40" t="s">
        <v>1390</v>
      </c>
    </row>
    <row r="184" spans="1:4" x14ac:dyDescent="0.3">
      <c r="A184" t="s">
        <v>1462</v>
      </c>
      <c r="B184" s="3">
        <v>6.55</v>
      </c>
      <c r="C184" t="s">
        <v>67</v>
      </c>
      <c r="D184" s="40" t="s">
        <v>1390</v>
      </c>
    </row>
    <row r="185" spans="1:4" x14ac:dyDescent="0.3">
      <c r="A185" t="s">
        <v>1463</v>
      </c>
      <c r="B185" s="3">
        <v>2.69</v>
      </c>
      <c r="C185" t="s">
        <v>67</v>
      </c>
      <c r="D185" s="40" t="s">
        <v>1390</v>
      </c>
    </row>
    <row r="186" spans="1:4" x14ac:dyDescent="0.3">
      <c r="A186" s="28" t="s">
        <v>1464</v>
      </c>
      <c r="B186" s="1"/>
      <c r="C186" s="1"/>
      <c r="D186" s="136"/>
    </row>
    <row r="187" spans="1:4" x14ac:dyDescent="0.3">
      <c r="A187" t="s">
        <v>1459</v>
      </c>
      <c r="B187" s="3">
        <v>5.51</v>
      </c>
      <c r="C187" t="s">
        <v>58</v>
      </c>
      <c r="D187" s="40" t="s">
        <v>1390</v>
      </c>
    </row>
    <row r="188" spans="1:4" x14ac:dyDescent="0.3">
      <c r="A188" t="s">
        <v>1460</v>
      </c>
      <c r="B188" s="3">
        <v>0.48</v>
      </c>
      <c r="C188" t="s">
        <v>58</v>
      </c>
      <c r="D188" s="40" t="s">
        <v>1390</v>
      </c>
    </row>
    <row r="189" spans="1:4" x14ac:dyDescent="0.3">
      <c r="A189" t="s">
        <v>1461</v>
      </c>
      <c r="B189" s="3">
        <v>3.03</v>
      </c>
      <c r="C189" t="s">
        <v>58</v>
      </c>
      <c r="D189" s="40" t="s">
        <v>1390</v>
      </c>
    </row>
    <row r="190" spans="1:4" x14ac:dyDescent="0.3">
      <c r="A190" t="s">
        <v>1462</v>
      </c>
      <c r="B190" s="3">
        <v>7.55</v>
      </c>
      <c r="C190" t="s">
        <v>58</v>
      </c>
      <c r="D190" s="40" t="s">
        <v>1390</v>
      </c>
    </row>
    <row r="191" spans="1:4" x14ac:dyDescent="0.3">
      <c r="A191" t="s">
        <v>1463</v>
      </c>
      <c r="B191" s="3">
        <v>18.350000000000001</v>
      </c>
      <c r="C191" t="s">
        <v>58</v>
      </c>
      <c r="D191" s="40" t="s">
        <v>1390</v>
      </c>
    </row>
    <row r="192" spans="1:4" x14ac:dyDescent="0.3">
      <c r="A192" s="28" t="s">
        <v>1465</v>
      </c>
      <c r="B192" s="1"/>
      <c r="C192" s="1"/>
      <c r="D192" s="136"/>
    </row>
    <row r="193" spans="1:4" x14ac:dyDescent="0.3">
      <c r="A193" t="s">
        <v>1459</v>
      </c>
      <c r="B193" s="3">
        <v>1.68</v>
      </c>
      <c r="C193" t="s">
        <v>58</v>
      </c>
      <c r="D193" s="40" t="s">
        <v>1390</v>
      </c>
    </row>
    <row r="194" spans="1:4" x14ac:dyDescent="0.3">
      <c r="A194" t="s">
        <v>1460</v>
      </c>
      <c r="B194" s="162">
        <v>7.3999999999999996E-2</v>
      </c>
      <c r="C194" t="s">
        <v>58</v>
      </c>
      <c r="D194" s="40" t="s">
        <v>1390</v>
      </c>
    </row>
    <row r="195" spans="1:4" x14ac:dyDescent="0.3">
      <c r="A195" t="s">
        <v>1461</v>
      </c>
      <c r="B195" s="3">
        <v>1.17</v>
      </c>
      <c r="C195" t="s">
        <v>58</v>
      </c>
      <c r="D195" s="40" t="s">
        <v>1390</v>
      </c>
    </row>
    <row r="196" spans="1:4" x14ac:dyDescent="0.3">
      <c r="A196" t="s">
        <v>1462</v>
      </c>
      <c r="B196" s="3">
        <v>1.28</v>
      </c>
      <c r="C196" t="s">
        <v>58</v>
      </c>
      <c r="D196" s="40" t="s">
        <v>1390</v>
      </c>
    </row>
    <row r="197" spans="1:4" x14ac:dyDescent="0.3">
      <c r="A197" t="s">
        <v>1463</v>
      </c>
      <c r="B197" s="3">
        <v>0.45</v>
      </c>
      <c r="C197" t="s">
        <v>58</v>
      </c>
      <c r="D197" s="40" t="s">
        <v>1390</v>
      </c>
    </row>
    <row r="198" spans="1:4" x14ac:dyDescent="0.3">
      <c r="A198" s="28" t="s">
        <v>1466</v>
      </c>
      <c r="B198" s="1"/>
      <c r="C198" s="1"/>
      <c r="D198" s="136"/>
    </row>
    <row r="199" spans="1:4" x14ac:dyDescent="0.3">
      <c r="A199" t="s">
        <v>1459</v>
      </c>
      <c r="B199" s="162">
        <v>8.6999999999999994E-2</v>
      </c>
      <c r="C199" t="s">
        <v>1467</v>
      </c>
      <c r="D199" s="40" t="s">
        <v>1390</v>
      </c>
    </row>
    <row r="200" spans="1:4" x14ac:dyDescent="0.3">
      <c r="A200" t="s">
        <v>1460</v>
      </c>
      <c r="B200" s="3">
        <v>0.09</v>
      </c>
      <c r="C200" t="s">
        <v>58</v>
      </c>
      <c r="D200" s="40" t="s">
        <v>1390</v>
      </c>
    </row>
    <row r="201" spans="1:4" x14ac:dyDescent="0.3">
      <c r="A201" t="s">
        <v>1461</v>
      </c>
      <c r="B201" s="3">
        <v>0.71</v>
      </c>
      <c r="C201" t="s">
        <v>58</v>
      </c>
      <c r="D201" s="40" t="s">
        <v>1390</v>
      </c>
    </row>
    <row r="202" spans="1:4" x14ac:dyDescent="0.3">
      <c r="A202" t="s">
        <v>1462</v>
      </c>
      <c r="B202" s="3">
        <v>1.2</v>
      </c>
      <c r="C202" t="s">
        <v>58</v>
      </c>
      <c r="D202" s="40" t="s">
        <v>1390</v>
      </c>
    </row>
    <row r="203" spans="1:4" x14ac:dyDescent="0.3">
      <c r="A203" t="s">
        <v>1463</v>
      </c>
      <c r="B203" s="3">
        <v>3.4</v>
      </c>
      <c r="C203" t="s">
        <v>58</v>
      </c>
      <c r="D203" s="40" t="s">
        <v>1390</v>
      </c>
    </row>
    <row r="204" spans="1:4" x14ac:dyDescent="0.3">
      <c r="A204" s="139" t="s">
        <v>96</v>
      </c>
      <c r="B204" s="1"/>
      <c r="C204" s="155"/>
      <c r="D204" s="137"/>
    </row>
    <row r="205" spans="1:4" x14ac:dyDescent="0.3">
      <c r="A205" t="s">
        <v>1468</v>
      </c>
      <c r="B205" s="3">
        <v>106.05</v>
      </c>
      <c r="C205" t="s">
        <v>58</v>
      </c>
      <c r="D205" s="40" t="s">
        <v>1390</v>
      </c>
    </row>
    <row r="206" spans="1:4" x14ac:dyDescent="0.3">
      <c r="A206" t="s">
        <v>1469</v>
      </c>
      <c r="B206" s="3">
        <v>43.53</v>
      </c>
      <c r="C206" t="s">
        <v>58</v>
      </c>
      <c r="D206" s="40" t="s">
        <v>1390</v>
      </c>
    </row>
    <row r="207" spans="1:4" ht="28.8" x14ac:dyDescent="0.3">
      <c r="A207" s="75" t="s">
        <v>1470</v>
      </c>
      <c r="B207" s="3">
        <v>3.66</v>
      </c>
      <c r="C207" t="s">
        <v>58</v>
      </c>
      <c r="D207" s="40" t="s">
        <v>1390</v>
      </c>
    </row>
    <row r="208" spans="1:4" x14ac:dyDescent="0.3">
      <c r="A208" t="s">
        <v>1471</v>
      </c>
      <c r="B208" s="3">
        <v>0.65</v>
      </c>
      <c r="C208" t="s">
        <v>58</v>
      </c>
      <c r="D208" s="40" t="s">
        <v>1390</v>
      </c>
    </row>
    <row r="209" spans="1:4" x14ac:dyDescent="0.3">
      <c r="A209" t="s">
        <v>1472</v>
      </c>
      <c r="B209" s="3">
        <v>0.13</v>
      </c>
      <c r="C209" t="s">
        <v>58</v>
      </c>
      <c r="D209" s="40" t="s">
        <v>1390</v>
      </c>
    </row>
    <row r="210" spans="1:4" x14ac:dyDescent="0.3">
      <c r="A210" t="s">
        <v>1473</v>
      </c>
      <c r="B210" s="162">
        <v>1.2999999999999999E-2</v>
      </c>
      <c r="C210" t="s">
        <v>58</v>
      </c>
      <c r="D210" s="40" t="s">
        <v>1390</v>
      </c>
    </row>
    <row r="211" spans="1:4" x14ac:dyDescent="0.3">
      <c r="A211" t="s">
        <v>1474</v>
      </c>
      <c r="B211" s="3">
        <v>0.5</v>
      </c>
      <c r="C211" t="s">
        <v>58</v>
      </c>
      <c r="D211" s="40" t="s">
        <v>1390</v>
      </c>
    </row>
    <row r="213" spans="1:4" x14ac:dyDescent="0.3">
      <c r="B213" s="3"/>
    </row>
    <row r="214" spans="1:4" ht="15.6" x14ac:dyDescent="0.3">
      <c r="A214" s="164" t="s">
        <v>1475</v>
      </c>
      <c r="B214" s="36"/>
      <c r="C214" s="36"/>
      <c r="D214" s="165"/>
    </row>
    <row r="215" spans="1:4" ht="15.6" x14ac:dyDescent="0.3">
      <c r="A215" s="166" t="s">
        <v>1386</v>
      </c>
      <c r="B215" s="36"/>
      <c r="C215" s="36"/>
      <c r="D215" s="165"/>
    </row>
    <row r="217" spans="1:4" ht="18.75" customHeight="1" x14ac:dyDescent="0.3">
      <c r="A217" s="777" t="s">
        <v>1476</v>
      </c>
      <c r="B217" s="778"/>
      <c r="C217" s="778"/>
      <c r="D217" s="778"/>
    </row>
    <row r="218" spans="1:4" x14ac:dyDescent="0.3">
      <c r="A218" s="94" t="s">
        <v>54</v>
      </c>
      <c r="B218" s="94" t="s">
        <v>319</v>
      </c>
      <c r="C218" s="95" t="s">
        <v>832</v>
      </c>
      <c r="D218" s="95" t="s">
        <v>1184</v>
      </c>
    </row>
    <row r="219" spans="1:4" x14ac:dyDescent="0.3">
      <c r="A219" t="s">
        <v>1477</v>
      </c>
      <c r="B219" s="3">
        <v>823.46</v>
      </c>
      <c r="C219" t="s">
        <v>58</v>
      </c>
      <c r="D219" s="40" t="s">
        <v>1390</v>
      </c>
    </row>
    <row r="220" spans="1:4" x14ac:dyDescent="0.3">
      <c r="A220" t="s">
        <v>69</v>
      </c>
      <c r="B220" s="3">
        <v>19.13</v>
      </c>
      <c r="C220" t="s">
        <v>67</v>
      </c>
      <c r="D220" s="40" t="s">
        <v>1420</v>
      </c>
    </row>
    <row r="221" spans="1:4" ht="28.8" x14ac:dyDescent="0.3">
      <c r="A221" s="9" t="s">
        <v>1478</v>
      </c>
      <c r="B221" s="3">
        <v>105</v>
      </c>
      <c r="C221" s="50" t="s">
        <v>58</v>
      </c>
      <c r="D221" s="3" t="s">
        <v>1390</v>
      </c>
    </row>
    <row r="222" spans="1:4" x14ac:dyDescent="0.3">
      <c r="A222" t="s">
        <v>1479</v>
      </c>
      <c r="B222" s="3">
        <v>1</v>
      </c>
      <c r="C222" t="s">
        <v>58</v>
      </c>
      <c r="D222" s="40" t="s">
        <v>1444</v>
      </c>
    </row>
    <row r="223" spans="1:4" x14ac:dyDescent="0.3">
      <c r="A223" t="s">
        <v>1480</v>
      </c>
      <c r="B223" s="3">
        <v>19</v>
      </c>
      <c r="C223" t="s">
        <v>58</v>
      </c>
      <c r="D223" s="40" t="s">
        <v>1420</v>
      </c>
    </row>
    <row r="224" spans="1:4" x14ac:dyDescent="0.3">
      <c r="A224" s="28" t="s">
        <v>1481</v>
      </c>
      <c r="B224" s="163"/>
      <c r="C224" s="1"/>
      <c r="D224" s="136"/>
    </row>
    <row r="225" spans="1:4" x14ac:dyDescent="0.3">
      <c r="A225" s="76" t="s">
        <v>1482</v>
      </c>
      <c r="B225" s="3">
        <v>610</v>
      </c>
      <c r="C225" t="s">
        <v>76</v>
      </c>
      <c r="D225" s="40" t="s">
        <v>1444</v>
      </c>
    </row>
    <row r="226" spans="1:4" x14ac:dyDescent="0.3">
      <c r="A226" t="s">
        <v>1483</v>
      </c>
      <c r="B226" s="3">
        <v>5.75</v>
      </c>
      <c r="C226" t="s">
        <v>1320</v>
      </c>
      <c r="D226" s="40" t="s">
        <v>1444</v>
      </c>
    </row>
    <row r="227" spans="1:4" x14ac:dyDescent="0.3">
      <c r="A227" s="94" t="s">
        <v>83</v>
      </c>
      <c r="B227" s="94" t="s">
        <v>319</v>
      </c>
      <c r="C227" s="95" t="s">
        <v>832</v>
      </c>
      <c r="D227" s="95" t="s">
        <v>1184</v>
      </c>
    </row>
    <row r="228" spans="1:4" x14ac:dyDescent="0.3">
      <c r="A228" s="196" t="s">
        <v>1484</v>
      </c>
      <c r="B228" s="131">
        <v>1</v>
      </c>
      <c r="C228" s="7" t="s">
        <v>143</v>
      </c>
      <c r="D228" s="40" t="s">
        <v>1390</v>
      </c>
    </row>
    <row r="229" spans="1:4" x14ac:dyDescent="0.3">
      <c r="A229" s="94" t="s">
        <v>1413</v>
      </c>
      <c r="B229" s="94" t="s">
        <v>319</v>
      </c>
      <c r="C229" s="95" t="s">
        <v>832</v>
      </c>
      <c r="D229" s="95" t="s">
        <v>1184</v>
      </c>
    </row>
    <row r="230" spans="1:4" x14ac:dyDescent="0.3">
      <c r="A230" s="195" t="s">
        <v>1399</v>
      </c>
      <c r="B230" s="1"/>
      <c r="C230" s="155"/>
      <c r="D230" s="137"/>
    </row>
    <row r="231" spans="1:4" x14ac:dyDescent="0.3">
      <c r="A231" t="s">
        <v>103</v>
      </c>
      <c r="B231" s="3">
        <v>0</v>
      </c>
      <c r="C231" t="s">
        <v>58</v>
      </c>
      <c r="D231" s="40" t="s">
        <v>1390</v>
      </c>
    </row>
    <row r="232" spans="1:4" x14ac:dyDescent="0.3">
      <c r="A232" s="195" t="s">
        <v>1485</v>
      </c>
      <c r="B232" s="1"/>
      <c r="C232" s="155"/>
      <c r="D232" s="137"/>
    </row>
    <row r="233" spans="1:4" x14ac:dyDescent="0.3">
      <c r="A233" s="197" t="s">
        <v>1486</v>
      </c>
      <c r="B233" s="163"/>
      <c r="C233" s="1"/>
      <c r="D233" s="136"/>
    </row>
    <row r="234" spans="1:4" x14ac:dyDescent="0.3">
      <c r="A234" t="s">
        <v>1487</v>
      </c>
      <c r="B234" s="3">
        <v>1.8</v>
      </c>
      <c r="C234" t="s">
        <v>67</v>
      </c>
      <c r="D234" s="40" t="s">
        <v>1390</v>
      </c>
    </row>
    <row r="235" spans="1:4" x14ac:dyDescent="0.3">
      <c r="A235" t="s">
        <v>1488</v>
      </c>
      <c r="B235" s="3">
        <v>0.12</v>
      </c>
      <c r="C235" t="s">
        <v>67</v>
      </c>
      <c r="D235" s="40" t="s">
        <v>1390</v>
      </c>
    </row>
    <row r="236" spans="1:4" x14ac:dyDescent="0.3">
      <c r="A236" s="197" t="s">
        <v>1489</v>
      </c>
      <c r="B236" s="163"/>
      <c r="C236" s="1"/>
      <c r="D236" s="136"/>
    </row>
    <row r="237" spans="1:4" x14ac:dyDescent="0.3">
      <c r="A237" t="s">
        <v>1487</v>
      </c>
      <c r="B237" s="3">
        <v>3.4</v>
      </c>
      <c r="C237" t="s">
        <v>58</v>
      </c>
      <c r="D237" s="40" t="s">
        <v>1390</v>
      </c>
    </row>
    <row r="238" spans="1:4" x14ac:dyDescent="0.3">
      <c r="A238" t="s">
        <v>1488</v>
      </c>
      <c r="B238" s="3">
        <v>2.73</v>
      </c>
      <c r="C238" t="s">
        <v>58</v>
      </c>
      <c r="D238" s="40" t="s">
        <v>1390</v>
      </c>
    </row>
    <row r="239" spans="1:4" x14ac:dyDescent="0.3">
      <c r="A239" s="197" t="s">
        <v>294</v>
      </c>
      <c r="B239" s="163"/>
      <c r="C239" s="1"/>
      <c r="D239" s="136"/>
    </row>
    <row r="240" spans="1:4" x14ac:dyDescent="0.3">
      <c r="A240" t="s">
        <v>1487</v>
      </c>
      <c r="B240" s="3">
        <v>2.11</v>
      </c>
      <c r="C240" t="s">
        <v>58</v>
      </c>
      <c r="D240" s="40" t="s">
        <v>1390</v>
      </c>
    </row>
    <row r="241" spans="1:4" x14ac:dyDescent="0.3">
      <c r="A241" t="s">
        <v>1488</v>
      </c>
      <c r="B241" s="3">
        <v>1.8</v>
      </c>
      <c r="C241" t="s">
        <v>58</v>
      </c>
      <c r="D241" s="40" t="s">
        <v>1390</v>
      </c>
    </row>
    <row r="242" spans="1:4" x14ac:dyDescent="0.3">
      <c r="A242" s="197" t="s">
        <v>1466</v>
      </c>
      <c r="B242" s="163"/>
      <c r="C242" s="1"/>
      <c r="D242" s="136"/>
    </row>
    <row r="243" spans="1:4" x14ac:dyDescent="0.3">
      <c r="A243" t="s">
        <v>1487</v>
      </c>
      <c r="B243" s="3">
        <v>1.01</v>
      </c>
      <c r="C243" t="s">
        <v>58</v>
      </c>
      <c r="D243" s="40" t="s">
        <v>1390</v>
      </c>
    </row>
    <row r="244" spans="1:4" x14ac:dyDescent="0.3">
      <c r="A244" t="s">
        <v>1488</v>
      </c>
      <c r="B244" s="3">
        <v>0</v>
      </c>
      <c r="C244" t="s">
        <v>58</v>
      </c>
      <c r="D244" s="40" t="s">
        <v>1390</v>
      </c>
    </row>
    <row r="245" spans="1:4" x14ac:dyDescent="0.3">
      <c r="A245" s="195" t="s">
        <v>96</v>
      </c>
      <c r="B245" s="1"/>
      <c r="C245" s="155"/>
      <c r="D245" s="137"/>
    </row>
    <row r="246" spans="1:4" x14ac:dyDescent="0.3">
      <c r="A246" t="s">
        <v>1490</v>
      </c>
      <c r="B246" s="3">
        <v>98.49</v>
      </c>
      <c r="C246" t="s">
        <v>58</v>
      </c>
      <c r="D246" s="40" t="s">
        <v>1390</v>
      </c>
    </row>
    <row r="247" spans="1:4" x14ac:dyDescent="0.3">
      <c r="B247" s="3"/>
    </row>
    <row r="248" spans="1:4" ht="15.6" x14ac:dyDescent="0.3">
      <c r="A248" s="191" t="s">
        <v>1491</v>
      </c>
      <c r="B248" s="192"/>
      <c r="C248" s="192"/>
      <c r="D248" s="193"/>
    </row>
    <row r="249" spans="1:4" ht="15.6" x14ac:dyDescent="0.3">
      <c r="A249" s="194" t="s">
        <v>1492</v>
      </c>
      <c r="B249" s="192"/>
      <c r="C249" s="192"/>
      <c r="D249" s="193"/>
    </row>
    <row r="251" spans="1:4" ht="18.75" customHeight="1" x14ac:dyDescent="0.3">
      <c r="A251" s="785" t="s">
        <v>1493</v>
      </c>
      <c r="B251" s="786"/>
      <c r="C251" s="786"/>
      <c r="D251" s="786"/>
    </row>
    <row r="252" spans="1:4" x14ac:dyDescent="0.3">
      <c r="A252" s="94" t="s">
        <v>54</v>
      </c>
      <c r="B252" s="94" t="s">
        <v>319</v>
      </c>
      <c r="C252" s="95" t="s">
        <v>832</v>
      </c>
      <c r="D252" s="95" t="s">
        <v>1184</v>
      </c>
    </row>
    <row r="253" spans="1:4" x14ac:dyDescent="0.3">
      <c r="A253" t="s">
        <v>1494</v>
      </c>
      <c r="B253" s="3">
        <v>16.04</v>
      </c>
      <c r="C253" t="s">
        <v>67</v>
      </c>
      <c r="D253" s="40" t="s">
        <v>1420</v>
      </c>
    </row>
    <row r="254" spans="1:4" x14ac:dyDescent="0.3">
      <c r="A254" t="s">
        <v>1482</v>
      </c>
      <c r="B254" s="3">
        <v>70</v>
      </c>
      <c r="C254" t="s">
        <v>76</v>
      </c>
      <c r="D254" s="40" t="s">
        <v>1444</v>
      </c>
    </row>
    <row r="255" spans="1:4" x14ac:dyDescent="0.3">
      <c r="A255" t="s">
        <v>1483</v>
      </c>
      <c r="B255" s="3">
        <v>5</v>
      </c>
      <c r="C255" t="s">
        <v>1320</v>
      </c>
      <c r="D255" s="40" t="s">
        <v>1444</v>
      </c>
    </row>
    <row r="256" spans="1:4" x14ac:dyDescent="0.3">
      <c r="A256" s="94" t="s">
        <v>1413</v>
      </c>
      <c r="B256" s="94" t="s">
        <v>319</v>
      </c>
      <c r="C256" s="95" t="s">
        <v>832</v>
      </c>
      <c r="D256" s="95" t="s">
        <v>1184</v>
      </c>
    </row>
    <row r="257" spans="1:4" x14ac:dyDescent="0.3">
      <c r="A257" s="139" t="s">
        <v>1399</v>
      </c>
      <c r="B257" s="1"/>
      <c r="C257" s="155"/>
      <c r="D257" s="137"/>
    </row>
    <row r="258" spans="1:4" x14ac:dyDescent="0.3">
      <c r="A258" s="195" t="s">
        <v>1495</v>
      </c>
      <c r="B258" s="1"/>
      <c r="C258" s="155"/>
      <c r="D258" s="137"/>
    </row>
    <row r="259" spans="1:4" x14ac:dyDescent="0.3">
      <c r="A259" t="s">
        <v>1496</v>
      </c>
      <c r="B259" s="3">
        <v>0.41</v>
      </c>
      <c r="C259" t="s">
        <v>58</v>
      </c>
      <c r="D259" s="40" t="s">
        <v>1390</v>
      </c>
    </row>
    <row r="260" spans="1:4" x14ac:dyDescent="0.3">
      <c r="A260" s="65" t="s">
        <v>1497</v>
      </c>
      <c r="B260" s="3">
        <v>91.5</v>
      </c>
      <c r="C260" t="s">
        <v>88</v>
      </c>
      <c r="D260" s="40" t="s">
        <v>1390</v>
      </c>
    </row>
    <row r="261" spans="1:4" x14ac:dyDescent="0.3">
      <c r="A261" t="s">
        <v>1498</v>
      </c>
      <c r="B261" s="3">
        <v>70.45</v>
      </c>
      <c r="C261" t="s">
        <v>88</v>
      </c>
      <c r="D261" s="40" t="s">
        <v>1390</v>
      </c>
    </row>
    <row r="262" spans="1:4" x14ac:dyDescent="0.3">
      <c r="A262" s="195" t="s">
        <v>103</v>
      </c>
      <c r="B262" s="1"/>
      <c r="C262" s="155"/>
      <c r="D262" s="137"/>
    </row>
    <row r="263" spans="1:4" x14ac:dyDescent="0.3">
      <c r="A263" t="s">
        <v>1499</v>
      </c>
      <c r="B263" s="3">
        <v>15.07</v>
      </c>
      <c r="C263" t="s">
        <v>88</v>
      </c>
      <c r="D263" s="40" t="s">
        <v>1390</v>
      </c>
    </row>
    <row r="264" spans="1:4" x14ac:dyDescent="0.3">
      <c r="A264" t="s">
        <v>1496</v>
      </c>
      <c r="B264" s="3">
        <v>39.950000000000003</v>
      </c>
      <c r="C264" t="s">
        <v>88</v>
      </c>
      <c r="D264" s="40" t="s">
        <v>1390</v>
      </c>
    </row>
    <row r="265" spans="1:4" x14ac:dyDescent="0.3">
      <c r="A265" t="s">
        <v>1498</v>
      </c>
      <c r="B265" s="162">
        <v>3.1030000000000002E-7</v>
      </c>
      <c r="C265" t="s">
        <v>58</v>
      </c>
      <c r="D265" s="40" t="s">
        <v>1390</v>
      </c>
    </row>
    <row r="266" spans="1:4" x14ac:dyDescent="0.3">
      <c r="A266" s="195" t="s">
        <v>1500</v>
      </c>
      <c r="B266" s="1"/>
      <c r="C266" s="155"/>
      <c r="D266" s="137"/>
    </row>
    <row r="267" spans="1:4" x14ac:dyDescent="0.3">
      <c r="A267" t="s">
        <v>1498</v>
      </c>
      <c r="B267" s="3">
        <v>4.41</v>
      </c>
      <c r="C267" t="s">
        <v>88</v>
      </c>
      <c r="D267" s="40" t="s">
        <v>1390</v>
      </c>
    </row>
    <row r="268" spans="1:4" x14ac:dyDescent="0.3">
      <c r="A268" t="s">
        <v>1496</v>
      </c>
      <c r="B268" s="3">
        <v>1.57</v>
      </c>
      <c r="C268" t="s">
        <v>58</v>
      </c>
      <c r="D268" s="40" t="s">
        <v>1390</v>
      </c>
    </row>
    <row r="269" spans="1:4" x14ac:dyDescent="0.3">
      <c r="A269" s="65" t="s">
        <v>1497</v>
      </c>
      <c r="B269" s="3">
        <v>0.3</v>
      </c>
      <c r="C269" t="s">
        <v>58</v>
      </c>
      <c r="D269" s="40" t="s">
        <v>1390</v>
      </c>
    </row>
    <row r="270" spans="1:4" x14ac:dyDescent="0.3">
      <c r="A270" t="s">
        <v>1501</v>
      </c>
      <c r="B270" s="3">
        <v>0.79</v>
      </c>
      <c r="C270" t="s">
        <v>88</v>
      </c>
      <c r="D270" s="40" t="s">
        <v>1390</v>
      </c>
    </row>
    <row r="271" spans="1:4" x14ac:dyDescent="0.3">
      <c r="A271" t="s">
        <v>1502</v>
      </c>
      <c r="B271" s="162">
        <v>5.8000000000000003E-2</v>
      </c>
      <c r="C271" t="s">
        <v>58</v>
      </c>
      <c r="D271" s="40" t="s">
        <v>1390</v>
      </c>
    </row>
    <row r="272" spans="1:4" ht="28.8" x14ac:dyDescent="0.3">
      <c r="A272" s="9" t="s">
        <v>1503</v>
      </c>
      <c r="B272" s="3">
        <v>5.65</v>
      </c>
      <c r="C272" s="50" t="s">
        <v>88</v>
      </c>
      <c r="D272" s="40" t="s">
        <v>1390</v>
      </c>
    </row>
    <row r="273" spans="1:4" x14ac:dyDescent="0.3">
      <c r="A273" t="s">
        <v>1504</v>
      </c>
      <c r="B273" s="162">
        <v>1E-3</v>
      </c>
      <c r="C273" t="s">
        <v>58</v>
      </c>
      <c r="D273" s="40" t="s">
        <v>1390</v>
      </c>
    </row>
    <row r="274" spans="1:4" x14ac:dyDescent="0.3">
      <c r="A274" s="139" t="s">
        <v>1458</v>
      </c>
      <c r="B274" s="163"/>
      <c r="C274" s="1"/>
      <c r="D274" s="136"/>
    </row>
    <row r="275" spans="1:4" x14ac:dyDescent="0.3">
      <c r="A275" s="195" t="s">
        <v>1486</v>
      </c>
      <c r="B275" s="1"/>
      <c r="C275" s="155"/>
      <c r="D275" s="137"/>
    </row>
    <row r="276" spans="1:4" x14ac:dyDescent="0.3">
      <c r="A276" t="s">
        <v>1505</v>
      </c>
      <c r="B276" s="3">
        <v>0.52</v>
      </c>
      <c r="C276" t="s">
        <v>67</v>
      </c>
      <c r="D276" s="40" t="s">
        <v>1390</v>
      </c>
    </row>
    <row r="277" spans="1:4" x14ac:dyDescent="0.3">
      <c r="A277" t="s">
        <v>1506</v>
      </c>
      <c r="B277" s="3">
        <v>3.92</v>
      </c>
      <c r="C277" t="s">
        <v>67</v>
      </c>
      <c r="D277" s="40" t="s">
        <v>1390</v>
      </c>
    </row>
    <row r="278" spans="1:4" x14ac:dyDescent="0.3">
      <c r="A278" t="s">
        <v>1507</v>
      </c>
      <c r="B278" s="162">
        <v>8.9120000000000005E-2</v>
      </c>
      <c r="C278" t="s">
        <v>67</v>
      </c>
      <c r="D278" s="40" t="s">
        <v>1390</v>
      </c>
    </row>
    <row r="279" spans="1:4" x14ac:dyDescent="0.3">
      <c r="A279" t="s">
        <v>1508</v>
      </c>
      <c r="B279" s="162">
        <v>2.971E-2</v>
      </c>
      <c r="C279" t="s">
        <v>67</v>
      </c>
      <c r="D279" s="40" t="s">
        <v>1390</v>
      </c>
    </row>
    <row r="280" spans="1:4" x14ac:dyDescent="0.3">
      <c r="A280" s="195" t="s">
        <v>1509</v>
      </c>
      <c r="B280" s="163"/>
      <c r="C280" s="155"/>
      <c r="D280" s="137"/>
    </row>
    <row r="281" spans="1:4" x14ac:dyDescent="0.3">
      <c r="A281" t="s">
        <v>1505</v>
      </c>
      <c r="B281" s="3">
        <v>8.1999999999999993</v>
      </c>
      <c r="C281" t="s">
        <v>58</v>
      </c>
      <c r="D281" s="40" t="s">
        <v>1390</v>
      </c>
    </row>
    <row r="282" spans="1:4" x14ac:dyDescent="0.3">
      <c r="A282" t="s">
        <v>1506</v>
      </c>
      <c r="B282" s="3">
        <v>0.51</v>
      </c>
      <c r="C282" t="s">
        <v>58</v>
      </c>
      <c r="D282" s="40" t="s">
        <v>1390</v>
      </c>
    </row>
    <row r="283" spans="1:4" x14ac:dyDescent="0.3">
      <c r="A283" t="s">
        <v>1507</v>
      </c>
      <c r="B283" s="3">
        <v>0</v>
      </c>
      <c r="C283" t="s">
        <v>58</v>
      </c>
      <c r="D283" s="40" t="s">
        <v>1390</v>
      </c>
    </row>
    <row r="284" spans="1:4" x14ac:dyDescent="0.3">
      <c r="A284" t="s">
        <v>1508</v>
      </c>
      <c r="B284" s="3">
        <v>0</v>
      </c>
      <c r="C284" t="s">
        <v>58</v>
      </c>
      <c r="D284" s="40" t="s">
        <v>1390</v>
      </c>
    </row>
    <row r="285" spans="1:4" x14ac:dyDescent="0.3">
      <c r="A285" s="195" t="s">
        <v>1510</v>
      </c>
      <c r="B285" s="163"/>
      <c r="C285" s="155"/>
      <c r="D285" s="137"/>
    </row>
    <row r="286" spans="1:4" x14ac:dyDescent="0.3">
      <c r="A286" t="s">
        <v>1505</v>
      </c>
      <c r="B286" s="3">
        <v>0.56000000000000005</v>
      </c>
      <c r="C286" t="s">
        <v>58</v>
      </c>
      <c r="D286" s="40" t="s">
        <v>1390</v>
      </c>
    </row>
    <row r="287" spans="1:4" x14ac:dyDescent="0.3">
      <c r="A287" t="s">
        <v>1506</v>
      </c>
      <c r="B287" s="3">
        <v>29.71</v>
      </c>
      <c r="C287" t="s">
        <v>88</v>
      </c>
      <c r="D287" s="40" t="s">
        <v>1390</v>
      </c>
    </row>
    <row r="288" spans="1:4" x14ac:dyDescent="0.3">
      <c r="A288" t="s">
        <v>1507</v>
      </c>
      <c r="B288" s="3">
        <v>0</v>
      </c>
      <c r="C288" t="s">
        <v>58</v>
      </c>
      <c r="D288" s="40" t="s">
        <v>1390</v>
      </c>
    </row>
    <row r="289" spans="1:4" x14ac:dyDescent="0.3">
      <c r="A289" t="s">
        <v>1508</v>
      </c>
      <c r="B289" s="3">
        <v>0</v>
      </c>
      <c r="C289" t="s">
        <v>58</v>
      </c>
      <c r="D289" s="40" t="s">
        <v>1390</v>
      </c>
    </row>
    <row r="290" spans="1:4" x14ac:dyDescent="0.3">
      <c r="A290" s="195" t="s">
        <v>1466</v>
      </c>
      <c r="B290" s="163"/>
      <c r="C290" s="155"/>
      <c r="D290" s="137"/>
    </row>
    <row r="291" spans="1:4" x14ac:dyDescent="0.3">
      <c r="A291" t="s">
        <v>1505</v>
      </c>
      <c r="B291" s="3">
        <v>76.2</v>
      </c>
      <c r="C291" t="s">
        <v>88</v>
      </c>
      <c r="D291" s="40" t="s">
        <v>1390</v>
      </c>
    </row>
    <row r="292" spans="1:4" x14ac:dyDescent="0.3">
      <c r="A292" t="s">
        <v>1506</v>
      </c>
      <c r="B292" s="3">
        <v>0.35</v>
      </c>
      <c r="C292" t="s">
        <v>58</v>
      </c>
      <c r="D292" s="40" t="s">
        <v>1390</v>
      </c>
    </row>
    <row r="293" spans="1:4" x14ac:dyDescent="0.3">
      <c r="A293" t="s">
        <v>1507</v>
      </c>
      <c r="B293" s="3">
        <v>0</v>
      </c>
      <c r="C293" t="s">
        <v>58</v>
      </c>
      <c r="D293" s="40" t="s">
        <v>1390</v>
      </c>
    </row>
    <row r="294" spans="1:4" x14ac:dyDescent="0.3">
      <c r="A294" t="s">
        <v>1508</v>
      </c>
      <c r="B294" s="3">
        <v>0</v>
      </c>
      <c r="C294" t="s">
        <v>58</v>
      </c>
      <c r="D294" s="40" t="s">
        <v>1390</v>
      </c>
    </row>
    <row r="295" spans="1:4" x14ac:dyDescent="0.3">
      <c r="A295" s="139" t="s">
        <v>96</v>
      </c>
      <c r="B295" s="163"/>
      <c r="C295" s="155"/>
      <c r="D295" s="137"/>
    </row>
    <row r="296" spans="1:4" x14ac:dyDescent="0.3">
      <c r="A296" s="195" t="s">
        <v>1511</v>
      </c>
      <c r="B296" s="163"/>
      <c r="C296" s="155"/>
      <c r="D296" s="137"/>
    </row>
    <row r="297" spans="1:4" x14ac:dyDescent="0.3">
      <c r="A297" t="s">
        <v>1512</v>
      </c>
      <c r="B297" s="3">
        <v>23.53</v>
      </c>
      <c r="C297" t="s">
        <v>88</v>
      </c>
      <c r="D297" s="40" t="s">
        <v>1390</v>
      </c>
    </row>
    <row r="298" spans="1:4" x14ac:dyDescent="0.3">
      <c r="A298" t="s">
        <v>1513</v>
      </c>
      <c r="B298" s="3">
        <v>2.08</v>
      </c>
      <c r="C298" t="s">
        <v>88</v>
      </c>
      <c r="D298" s="40" t="s">
        <v>1390</v>
      </c>
    </row>
    <row r="299" spans="1:4" x14ac:dyDescent="0.3">
      <c r="A299" t="s">
        <v>1514</v>
      </c>
      <c r="B299" s="3">
        <v>7.12</v>
      </c>
      <c r="C299" t="s">
        <v>88</v>
      </c>
      <c r="D299" s="40" t="s">
        <v>1390</v>
      </c>
    </row>
    <row r="300" spans="1:4" x14ac:dyDescent="0.3">
      <c r="A300" t="s">
        <v>1515</v>
      </c>
      <c r="B300" s="3">
        <v>2.17</v>
      </c>
      <c r="C300" t="s">
        <v>88</v>
      </c>
      <c r="D300" s="40" t="s">
        <v>1390</v>
      </c>
    </row>
    <row r="301" spans="1:4" x14ac:dyDescent="0.3">
      <c r="B301" s="3"/>
    </row>
    <row r="302" spans="1:4" ht="15.6" x14ac:dyDescent="0.3">
      <c r="A302" s="133" t="s">
        <v>1516</v>
      </c>
      <c r="B302" s="99"/>
      <c r="C302" s="99"/>
      <c r="D302" s="198"/>
    </row>
    <row r="303" spans="1:4" ht="15.6" x14ac:dyDescent="0.3">
      <c r="A303" s="199" t="s">
        <v>1517</v>
      </c>
      <c r="B303" s="99"/>
      <c r="C303" s="99"/>
      <c r="D303" s="198"/>
    </row>
    <row r="305" spans="1:4" ht="18.75" customHeight="1" x14ac:dyDescent="0.3">
      <c r="A305" s="773" t="s">
        <v>1518</v>
      </c>
      <c r="B305" s="774"/>
      <c r="C305" s="774"/>
      <c r="D305" s="774"/>
    </row>
    <row r="306" spans="1:4" x14ac:dyDescent="0.3">
      <c r="A306" s="94" t="s">
        <v>54</v>
      </c>
      <c r="B306" s="94" t="s">
        <v>319</v>
      </c>
      <c r="C306" s="95" t="s">
        <v>832</v>
      </c>
      <c r="D306" s="95" t="s">
        <v>1184</v>
      </c>
    </row>
    <row r="307" spans="1:4" x14ac:dyDescent="0.3">
      <c r="A307" t="s">
        <v>1519</v>
      </c>
      <c r="B307" s="3">
        <v>0.98</v>
      </c>
      <c r="C307" t="s">
        <v>58</v>
      </c>
      <c r="D307" s="40" t="s">
        <v>1390</v>
      </c>
    </row>
    <row r="308" spans="1:4" x14ac:dyDescent="0.3">
      <c r="A308" t="s">
        <v>1520</v>
      </c>
      <c r="B308" s="3">
        <v>0.49</v>
      </c>
      <c r="C308" t="s">
        <v>58</v>
      </c>
      <c r="D308" s="40" t="s">
        <v>1390</v>
      </c>
    </row>
    <row r="309" spans="1:4" x14ac:dyDescent="0.3">
      <c r="A309" t="s">
        <v>1521</v>
      </c>
      <c r="B309" s="162">
        <v>6.7000000000000004E-2</v>
      </c>
      <c r="C309" t="s">
        <v>58</v>
      </c>
      <c r="D309" s="40" t="s">
        <v>1390</v>
      </c>
    </row>
    <row r="310" spans="1:4" x14ac:dyDescent="0.3">
      <c r="A310" s="28" t="s">
        <v>1481</v>
      </c>
      <c r="B310" s="163"/>
      <c r="C310" s="1"/>
      <c r="D310" s="136"/>
    </row>
    <row r="311" spans="1:4" x14ac:dyDescent="0.3">
      <c r="A311" t="s">
        <v>1522</v>
      </c>
      <c r="B311" s="3">
        <v>46</v>
      </c>
      <c r="C311" t="s">
        <v>76</v>
      </c>
      <c r="D311" s="40" t="s">
        <v>1420</v>
      </c>
    </row>
    <row r="312" spans="1:4" x14ac:dyDescent="0.3">
      <c r="A312" s="94" t="s">
        <v>1413</v>
      </c>
      <c r="B312" s="94" t="s">
        <v>319</v>
      </c>
      <c r="C312" s="95" t="s">
        <v>832</v>
      </c>
      <c r="D312" s="95" t="s">
        <v>1184</v>
      </c>
    </row>
    <row r="313" spans="1:4" x14ac:dyDescent="0.3">
      <c r="A313" s="195" t="s">
        <v>1485</v>
      </c>
      <c r="B313" s="1"/>
      <c r="C313" s="155"/>
      <c r="D313" s="137"/>
    </row>
    <row r="314" spans="1:4" x14ac:dyDescent="0.3">
      <c r="A314" t="s">
        <v>1523</v>
      </c>
      <c r="B314" s="102">
        <v>31.25</v>
      </c>
      <c r="C314" t="s">
        <v>67</v>
      </c>
      <c r="D314" s="40" t="s">
        <v>1390</v>
      </c>
    </row>
    <row r="315" spans="1:4" x14ac:dyDescent="0.3">
      <c r="A315" t="s">
        <v>1328</v>
      </c>
      <c r="B315" s="160">
        <v>2.09E-5</v>
      </c>
      <c r="C315" t="s">
        <v>58</v>
      </c>
      <c r="D315" s="40" t="s">
        <v>1390</v>
      </c>
    </row>
    <row r="316" spans="1:4" x14ac:dyDescent="0.3">
      <c r="A316" t="s">
        <v>1466</v>
      </c>
      <c r="B316" s="160">
        <v>4.5399999999999997E-6</v>
      </c>
      <c r="C316" t="s">
        <v>58</v>
      </c>
      <c r="D316" s="40" t="s">
        <v>1390</v>
      </c>
    </row>
    <row r="317" spans="1:4" x14ac:dyDescent="0.3">
      <c r="A317" t="s">
        <v>1524</v>
      </c>
      <c r="B317" s="160">
        <v>2.4600000000000001E-7</v>
      </c>
      <c r="C317" t="s">
        <v>58</v>
      </c>
      <c r="D317" s="40" t="s">
        <v>1390</v>
      </c>
    </row>
    <row r="318" spans="1:4" x14ac:dyDescent="0.3">
      <c r="A318" t="s">
        <v>1525</v>
      </c>
      <c r="B318" s="102">
        <v>30</v>
      </c>
      <c r="C318" t="s">
        <v>1526</v>
      </c>
      <c r="D318" s="40" t="s">
        <v>1390</v>
      </c>
    </row>
    <row r="319" spans="1:4" x14ac:dyDescent="0.3">
      <c r="A319" t="s">
        <v>1527</v>
      </c>
      <c r="B319" s="102">
        <v>7.8</v>
      </c>
      <c r="D319" s="40" t="s">
        <v>1390</v>
      </c>
    </row>
    <row r="320" spans="1:4" x14ac:dyDescent="0.3">
      <c r="A320" s="195" t="s">
        <v>96</v>
      </c>
      <c r="B320" s="104"/>
      <c r="C320" s="155"/>
      <c r="D320" s="137"/>
    </row>
    <row r="321" spans="1:4" x14ac:dyDescent="0.3">
      <c r="A321" t="s">
        <v>1528</v>
      </c>
      <c r="B321" s="102">
        <v>158.63999999999999</v>
      </c>
      <c r="C321" t="s">
        <v>58</v>
      </c>
      <c r="D321" s="40" t="s">
        <v>1390</v>
      </c>
    </row>
  </sheetData>
  <mergeCells count="11">
    <mergeCell ref="C1:E2"/>
    <mergeCell ref="A69:B70"/>
    <mergeCell ref="A84:D84"/>
    <mergeCell ref="A100:D100"/>
    <mergeCell ref="A119:D119"/>
    <mergeCell ref="A305:D305"/>
    <mergeCell ref="A130:D130"/>
    <mergeCell ref="A147:D147"/>
    <mergeCell ref="C17:E18"/>
    <mergeCell ref="A251:D251"/>
    <mergeCell ref="A217:D217"/>
  </mergeCells>
  <hyperlinks>
    <hyperlink ref="B37" r:id="rId1" xr:uid="{CDF31692-A30D-455D-B2B0-0403E64C0633}"/>
  </hyperlinks>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BB9A01-748B-49D8-BBE9-4CEE3DB37DEE}">
  <dimension ref="A1:BB54"/>
  <sheetViews>
    <sheetView topLeftCell="AA1" workbookViewId="0">
      <selection activeCell="BA43" sqref="BA43"/>
    </sheetView>
  </sheetViews>
  <sheetFormatPr defaultRowHeight="14.4" x14ac:dyDescent="0.3"/>
  <cols>
    <col min="1" max="1" width="10.44140625" bestFit="1" customWidth="1"/>
    <col min="2" max="2" width="36.33203125" customWidth="1"/>
    <col min="9" max="9" width="10.5546875" style="87" customWidth="1"/>
    <col min="10" max="10" width="10.5546875" customWidth="1"/>
    <col min="11" max="11" width="10.6640625" customWidth="1"/>
    <col min="27" max="27" width="9.109375" style="60"/>
    <col min="28" max="28" width="11.33203125" customWidth="1"/>
    <col min="31" max="31" width="12.109375" customWidth="1"/>
    <col min="43" max="43" width="9.109375" style="60"/>
    <col min="45" max="45" width="12.33203125" customWidth="1"/>
    <col min="46" max="46" width="12.88671875" customWidth="1"/>
    <col min="47" max="47" width="27.6640625" customWidth="1"/>
    <col min="48" max="48" width="22.88671875" customWidth="1"/>
    <col min="49" max="49" width="18.109375" customWidth="1"/>
  </cols>
  <sheetData>
    <row r="1" spans="1:54" x14ac:dyDescent="0.3">
      <c r="B1" s="83" t="s">
        <v>1529</v>
      </c>
      <c r="I1" s="91" t="s">
        <v>1530</v>
      </c>
      <c r="AA1"/>
    </row>
    <row r="2" spans="1:54" x14ac:dyDescent="0.3">
      <c r="I2" s="34"/>
      <c r="AA2"/>
    </row>
    <row r="3" spans="1:54" s="60" customFormat="1" x14ac:dyDescent="0.3">
      <c r="I3" s="87"/>
    </row>
    <row r="4" spans="1:54" s="49" customFormat="1" ht="28.8" x14ac:dyDescent="0.3">
      <c r="A4" s="49" t="s">
        <v>1531</v>
      </c>
      <c r="B4" s="75" t="s">
        <v>1532</v>
      </c>
      <c r="C4" s="49" t="s">
        <v>1533</v>
      </c>
      <c r="I4" s="86"/>
      <c r="J4" s="49" t="s">
        <v>1534</v>
      </c>
      <c r="L4" t="s">
        <v>1535</v>
      </c>
      <c r="P4" s="88" t="s">
        <v>1536</v>
      </c>
      <c r="AA4" s="89"/>
      <c r="AB4" s="49" t="s">
        <v>1537</v>
      </c>
      <c r="AD4" s="803" t="s">
        <v>1538</v>
      </c>
      <c r="AE4" s="803"/>
      <c r="AF4" s="803"/>
      <c r="AG4" s="803"/>
      <c r="AH4" t="s">
        <v>1539</v>
      </c>
      <c r="AQ4" s="89"/>
      <c r="AR4" s="228" t="s">
        <v>1540</v>
      </c>
      <c r="AS4" s="229"/>
      <c r="AT4" s="49" t="s">
        <v>1541</v>
      </c>
      <c r="AV4" s="230" t="s">
        <v>1542</v>
      </c>
      <c r="AW4" s="229"/>
      <c r="AX4" s="229"/>
      <c r="AY4" s="229"/>
      <c r="AZ4" s="229"/>
      <c r="BA4" s="229"/>
      <c r="BB4" s="229"/>
    </row>
    <row r="5" spans="1:54" x14ac:dyDescent="0.3">
      <c r="A5" s="82" t="s">
        <v>1543</v>
      </c>
      <c r="J5" s="65"/>
      <c r="AR5" s="7" t="s">
        <v>1544</v>
      </c>
    </row>
    <row r="6" spans="1:54" ht="19.5" customHeight="1" x14ac:dyDescent="0.3">
      <c r="A6" s="65" t="s">
        <v>1545</v>
      </c>
      <c r="J6" s="796" t="s">
        <v>1546</v>
      </c>
      <c r="K6" s="797"/>
      <c r="L6" s="797"/>
      <c r="M6" s="797"/>
      <c r="N6" s="797"/>
      <c r="O6" s="797"/>
      <c r="P6" s="797"/>
      <c r="Q6" s="797"/>
      <c r="R6" s="797"/>
      <c r="S6" s="797"/>
      <c r="T6" s="797"/>
      <c r="U6" s="797"/>
      <c r="V6" s="797"/>
      <c r="W6" s="798"/>
      <c r="AR6" t="s">
        <v>1547</v>
      </c>
    </row>
    <row r="7" spans="1:54" ht="21.75" customHeight="1" x14ac:dyDescent="0.3">
      <c r="A7" s="794" t="s">
        <v>1548</v>
      </c>
      <c r="B7" s="795"/>
      <c r="C7" s="795"/>
      <c r="D7" s="795"/>
      <c r="E7" s="795"/>
      <c r="F7" s="795"/>
      <c r="G7" s="795"/>
      <c r="J7" s="799"/>
      <c r="K7" s="787"/>
      <c r="L7" s="787"/>
      <c r="M7" s="787"/>
      <c r="N7" s="787"/>
      <c r="O7" s="787"/>
      <c r="P7" s="787"/>
      <c r="Q7" s="787"/>
      <c r="R7" s="787"/>
      <c r="S7" s="787"/>
      <c r="T7" s="787"/>
      <c r="U7" s="787"/>
      <c r="V7" s="787"/>
      <c r="W7" s="800"/>
      <c r="AR7" s="7" t="s">
        <v>1549</v>
      </c>
    </row>
    <row r="8" spans="1:54" ht="21.75" customHeight="1" x14ac:dyDescent="0.3">
      <c r="A8" s="795"/>
      <c r="B8" s="795"/>
      <c r="C8" s="795"/>
      <c r="D8" s="795"/>
      <c r="E8" s="795"/>
      <c r="F8" s="795"/>
      <c r="G8" s="795"/>
      <c r="J8" s="801"/>
      <c r="K8" s="788"/>
      <c r="L8" s="788"/>
      <c r="M8" s="788"/>
      <c r="N8" s="788"/>
      <c r="O8" s="788"/>
      <c r="P8" s="788"/>
      <c r="Q8" s="788"/>
      <c r="R8" s="788"/>
      <c r="S8" s="788"/>
      <c r="T8" s="788"/>
      <c r="U8" s="788"/>
      <c r="V8" s="788"/>
      <c r="W8" s="802"/>
      <c r="AR8" t="s">
        <v>1550</v>
      </c>
    </row>
    <row r="9" spans="1:54" x14ac:dyDescent="0.3">
      <c r="B9" s="85" t="s">
        <v>1551</v>
      </c>
      <c r="AR9" t="s">
        <v>1552</v>
      </c>
    </row>
    <row r="11" spans="1:54" ht="15" customHeight="1" x14ac:dyDescent="0.3">
      <c r="AR11" s="809" t="s">
        <v>1553</v>
      </c>
      <c r="AS11" s="809"/>
      <c r="AT11" s="809"/>
      <c r="AU11" s="809"/>
      <c r="AV11" s="809"/>
      <c r="AW11" s="809"/>
      <c r="AX11" s="103"/>
    </row>
    <row r="12" spans="1:54" x14ac:dyDescent="0.3">
      <c r="AR12" s="809"/>
      <c r="AS12" s="809"/>
      <c r="AT12" s="809"/>
      <c r="AU12" s="809"/>
      <c r="AV12" s="809"/>
      <c r="AW12" s="809"/>
      <c r="AX12" s="103"/>
    </row>
    <row r="13" spans="1:54" x14ac:dyDescent="0.3">
      <c r="AR13" s="809"/>
      <c r="AS13" s="809"/>
      <c r="AT13" s="809"/>
      <c r="AU13" s="809"/>
      <c r="AV13" s="809"/>
      <c r="AW13" s="809"/>
      <c r="AX13" s="103"/>
    </row>
    <row r="18" spans="28:53" ht="15" customHeight="1" x14ac:dyDescent="0.3">
      <c r="AB18" s="804" t="s">
        <v>1554</v>
      </c>
      <c r="AC18" s="805"/>
      <c r="AD18" s="805"/>
      <c r="AE18" s="805"/>
      <c r="AF18" s="805"/>
      <c r="AG18" s="805"/>
      <c r="AH18" s="805"/>
      <c r="AI18" s="805"/>
    </row>
    <row r="19" spans="28:53" x14ac:dyDescent="0.3">
      <c r="AB19" s="805"/>
      <c r="AC19" s="805"/>
      <c r="AD19" s="805"/>
      <c r="AE19" s="805"/>
      <c r="AF19" s="805"/>
      <c r="AG19" s="805"/>
      <c r="AH19" s="805"/>
      <c r="AI19" s="805"/>
    </row>
    <row r="20" spans="28:53" ht="15.6" x14ac:dyDescent="0.3">
      <c r="AB20" s="805"/>
      <c r="AC20" s="805"/>
      <c r="AD20" s="805"/>
      <c r="AE20" s="805"/>
      <c r="AF20" s="805"/>
      <c r="AG20" s="805"/>
      <c r="AH20" s="805"/>
      <c r="AI20" s="805"/>
      <c r="AS20" s="206" t="s">
        <v>1555</v>
      </c>
      <c r="AT20" s="1"/>
      <c r="AU20" s="1"/>
      <c r="AV20" s="1"/>
      <c r="AW20" s="1"/>
      <c r="AX20" s="1"/>
      <c r="AY20" s="1"/>
      <c r="AZ20" s="1"/>
      <c r="BA20" s="1"/>
    </row>
    <row r="21" spans="28:53" x14ac:dyDescent="0.3">
      <c r="AB21" s="805"/>
      <c r="AC21" s="805"/>
      <c r="AD21" s="805"/>
      <c r="AE21" s="805"/>
      <c r="AF21" s="805"/>
      <c r="AG21" s="805"/>
      <c r="AH21" s="805"/>
      <c r="AI21" s="805"/>
    </row>
    <row r="22" spans="28:53" x14ac:dyDescent="0.3">
      <c r="AB22" s="805"/>
      <c r="AC22" s="805"/>
      <c r="AD22" s="805"/>
      <c r="AE22" s="805"/>
      <c r="AF22" s="805"/>
      <c r="AG22" s="805"/>
      <c r="AH22" s="805"/>
      <c r="AI22" s="805"/>
      <c r="AS22" s="212" t="s">
        <v>1556</v>
      </c>
      <c r="AT22" s="212" t="s">
        <v>1557</v>
      </c>
      <c r="AU22" s="212" t="s">
        <v>1558</v>
      </c>
      <c r="AV22" s="212" t="s">
        <v>1559</v>
      </c>
      <c r="AW22" s="212" t="s">
        <v>1560</v>
      </c>
      <c r="AX22" s="212" t="s">
        <v>1561</v>
      </c>
    </row>
    <row r="23" spans="28:53" ht="30.75" customHeight="1" x14ac:dyDescent="0.3">
      <c r="AS23" s="738" t="s">
        <v>1562</v>
      </c>
      <c r="AT23" s="811">
        <v>3272.54</v>
      </c>
      <c r="AU23" s="50" t="s">
        <v>1563</v>
      </c>
      <c r="AV23" s="3">
        <v>71.430000000000007</v>
      </c>
      <c r="AW23" s="3">
        <v>115</v>
      </c>
      <c r="AX23" s="3">
        <v>8.2100000000000009</v>
      </c>
    </row>
    <row r="24" spans="28:53" x14ac:dyDescent="0.3">
      <c r="AS24" s="738"/>
      <c r="AT24" s="811"/>
      <c r="AU24" t="s">
        <v>1564</v>
      </c>
      <c r="AV24" s="3">
        <v>10.86</v>
      </c>
      <c r="AW24" s="3">
        <v>1125</v>
      </c>
      <c r="AX24" s="3">
        <v>12.22</v>
      </c>
    </row>
    <row r="25" spans="28:53" ht="28.8" x14ac:dyDescent="0.3">
      <c r="AS25" s="738"/>
      <c r="AT25" s="811"/>
      <c r="AU25" s="75" t="s">
        <v>1565</v>
      </c>
      <c r="AV25" s="3">
        <v>621.78</v>
      </c>
      <c r="AW25" s="3">
        <v>920</v>
      </c>
      <c r="AX25" s="3">
        <v>572.04</v>
      </c>
    </row>
    <row r="26" spans="28:53" x14ac:dyDescent="0.3">
      <c r="AS26" s="670"/>
      <c r="AT26" s="812"/>
      <c r="AU26" s="210" t="s">
        <v>1566</v>
      </c>
      <c r="AV26" s="209">
        <v>32.729999999999997</v>
      </c>
      <c r="AW26" s="209">
        <v>900</v>
      </c>
      <c r="AX26" s="209">
        <v>29.45</v>
      </c>
    </row>
    <row r="27" spans="28:53" x14ac:dyDescent="0.3">
      <c r="AS27" s="810" t="s">
        <v>1567</v>
      </c>
      <c r="AT27" s="813">
        <v>706.77</v>
      </c>
      <c r="AU27" t="s">
        <v>1568</v>
      </c>
      <c r="AV27" s="3">
        <v>4.59</v>
      </c>
      <c r="AW27" s="3">
        <v>1250</v>
      </c>
      <c r="AX27" s="3">
        <v>5.74</v>
      </c>
    </row>
    <row r="28" spans="28:53" ht="28.8" x14ac:dyDescent="0.3">
      <c r="AS28" s="738"/>
      <c r="AT28" s="811"/>
      <c r="AU28" s="75" t="s">
        <v>1565</v>
      </c>
      <c r="AV28" s="3">
        <v>169.62</v>
      </c>
      <c r="AW28" s="3">
        <v>920</v>
      </c>
      <c r="AX28" s="3">
        <v>156.06</v>
      </c>
    </row>
    <row r="29" spans="28:53" x14ac:dyDescent="0.3">
      <c r="AS29" s="670"/>
      <c r="AT29" s="812"/>
      <c r="AU29" s="210" t="s">
        <v>1566</v>
      </c>
      <c r="AV29" s="209">
        <v>14.14</v>
      </c>
      <c r="AW29" s="209">
        <v>900</v>
      </c>
      <c r="AX29" s="209">
        <v>12.72</v>
      </c>
    </row>
    <row r="30" spans="28:53" x14ac:dyDescent="0.3">
      <c r="AS30" s="810" t="s">
        <v>1569</v>
      </c>
      <c r="AT30" s="810">
        <v>6371.5</v>
      </c>
      <c r="AU30" t="s">
        <v>1566</v>
      </c>
      <c r="AV30" s="3">
        <v>509.72</v>
      </c>
      <c r="AW30" s="3">
        <v>900</v>
      </c>
      <c r="AX30" s="3">
        <v>458.75</v>
      </c>
    </row>
    <row r="31" spans="28:53" x14ac:dyDescent="0.3">
      <c r="AS31" s="670"/>
      <c r="AT31" s="670"/>
      <c r="AU31" s="210" t="s">
        <v>1570</v>
      </c>
      <c r="AV31" s="209">
        <v>892.01</v>
      </c>
      <c r="AW31" s="209">
        <v>630</v>
      </c>
      <c r="AX31" s="209">
        <v>561.97</v>
      </c>
    </row>
    <row r="32" spans="28:53" x14ac:dyDescent="0.3">
      <c r="AS32" s="738" t="s">
        <v>1571</v>
      </c>
      <c r="AT32" s="738">
        <v>7290</v>
      </c>
      <c r="AU32" t="s">
        <v>1572</v>
      </c>
      <c r="AV32" s="3">
        <v>63.18</v>
      </c>
      <c r="AW32" s="3">
        <v>2000</v>
      </c>
      <c r="AX32" s="3">
        <v>126.36</v>
      </c>
    </row>
    <row r="33" spans="28:50" x14ac:dyDescent="0.3">
      <c r="AS33" s="738"/>
      <c r="AT33" s="738"/>
      <c r="AU33" t="s">
        <v>1573</v>
      </c>
      <c r="AV33" s="3">
        <v>218.7</v>
      </c>
      <c r="AW33" s="40">
        <v>1250</v>
      </c>
      <c r="AX33" s="40">
        <v>273.38</v>
      </c>
    </row>
    <row r="34" spans="28:50" x14ac:dyDescent="0.3">
      <c r="AS34" s="738"/>
      <c r="AT34" s="738"/>
      <c r="AU34" t="s">
        <v>1574</v>
      </c>
      <c r="AV34" s="3">
        <v>2187</v>
      </c>
      <c r="AW34" s="40">
        <v>1090</v>
      </c>
      <c r="AX34" s="40">
        <v>2383.83</v>
      </c>
    </row>
    <row r="35" spans="28:50" x14ac:dyDescent="0.3">
      <c r="AS35" s="738"/>
      <c r="AT35" s="738"/>
      <c r="AU35" t="s">
        <v>1566</v>
      </c>
      <c r="AV35" s="3">
        <v>145.80000000000001</v>
      </c>
      <c r="AW35" s="40">
        <v>900</v>
      </c>
      <c r="AX35" s="40">
        <v>131.22</v>
      </c>
    </row>
    <row r="36" spans="28:50" x14ac:dyDescent="0.3">
      <c r="AS36" s="670"/>
      <c r="AT36" s="670"/>
      <c r="AU36" s="210" t="s">
        <v>1575</v>
      </c>
      <c r="AV36" s="209">
        <v>583.20000000000005</v>
      </c>
      <c r="AW36" s="205">
        <v>1929</v>
      </c>
      <c r="AX36" s="205">
        <v>1124.99</v>
      </c>
    </row>
    <row r="37" spans="28:50" x14ac:dyDescent="0.3">
      <c r="AS37" s="208" t="s">
        <v>1576</v>
      </c>
      <c r="AT37" s="208">
        <v>1527.21</v>
      </c>
      <c r="AU37" s="210" t="s">
        <v>1577</v>
      </c>
      <c r="AV37" s="205">
        <v>229.08</v>
      </c>
      <c r="AW37" s="205">
        <v>1850</v>
      </c>
      <c r="AX37" s="205">
        <v>423.8</v>
      </c>
    </row>
    <row r="38" spans="28:50" x14ac:dyDescent="0.3">
      <c r="AS38" s="810" t="s">
        <v>1578</v>
      </c>
      <c r="AT38" s="810">
        <v>1069</v>
      </c>
      <c r="AU38" s="9" t="s">
        <v>1579</v>
      </c>
      <c r="AV38" s="102">
        <v>320.7</v>
      </c>
      <c r="AW38" s="102">
        <v>1090</v>
      </c>
      <c r="AX38" s="102">
        <v>349.56</v>
      </c>
    </row>
    <row r="39" spans="28:50" ht="28.8" x14ac:dyDescent="0.3">
      <c r="AS39" s="738"/>
      <c r="AT39" s="738"/>
      <c r="AU39" s="9" t="s">
        <v>1580</v>
      </c>
      <c r="AV39" s="102">
        <v>53.45</v>
      </c>
      <c r="AW39" s="102">
        <v>38</v>
      </c>
      <c r="AX39" s="102">
        <v>2.0299999999999998</v>
      </c>
    </row>
    <row r="40" spans="28:50" x14ac:dyDescent="0.3">
      <c r="AS40" s="738"/>
      <c r="AT40" s="738"/>
      <c r="AU40" s="9" t="s">
        <v>1566</v>
      </c>
      <c r="AV40" s="102">
        <v>21.38</v>
      </c>
      <c r="AW40" s="102">
        <v>900</v>
      </c>
      <c r="AX40" s="102">
        <v>19.239999999999998</v>
      </c>
    </row>
    <row r="41" spans="28:50" ht="28.8" x14ac:dyDescent="0.3">
      <c r="AS41" s="214" t="s">
        <v>1581</v>
      </c>
      <c r="AT41" s="214" t="s">
        <v>1557</v>
      </c>
      <c r="AU41" s="214" t="s">
        <v>1558</v>
      </c>
      <c r="AV41" s="214" t="s">
        <v>1559</v>
      </c>
      <c r="AW41" s="214" t="s">
        <v>1560</v>
      </c>
      <c r="AX41" s="214" t="s">
        <v>1561</v>
      </c>
    </row>
    <row r="42" spans="28:50" x14ac:dyDescent="0.3">
      <c r="AS42" s="207" t="s">
        <v>1582</v>
      </c>
      <c r="AT42" s="207">
        <v>806.4</v>
      </c>
      <c r="AU42" s="207" t="s">
        <v>1583</v>
      </c>
      <c r="AV42" s="207">
        <v>806.4</v>
      </c>
      <c r="AW42" s="207">
        <v>27.6</v>
      </c>
      <c r="AX42" s="207">
        <v>22.26</v>
      </c>
    </row>
    <row r="43" spans="28:50" ht="28.8" x14ac:dyDescent="0.3">
      <c r="AS43" s="810" t="s">
        <v>1584</v>
      </c>
      <c r="AT43" s="810">
        <v>2019.37</v>
      </c>
      <c r="AU43" s="215" t="s">
        <v>1585</v>
      </c>
      <c r="AV43" s="207">
        <v>664.29</v>
      </c>
      <c r="AW43" s="207">
        <v>27.5</v>
      </c>
      <c r="AX43" s="207">
        <v>18.27</v>
      </c>
    </row>
    <row r="44" spans="28:50" ht="28.8" x14ac:dyDescent="0.3">
      <c r="AS44" s="738"/>
      <c r="AT44" s="738"/>
      <c r="AU44" s="9" t="s">
        <v>1586</v>
      </c>
      <c r="AV44" s="3">
        <v>1153.1400000000001</v>
      </c>
      <c r="AW44" s="3">
        <v>12.5</v>
      </c>
      <c r="AX44" s="3">
        <v>14.41</v>
      </c>
    </row>
    <row r="45" spans="28:50" ht="28.8" x14ac:dyDescent="0.3">
      <c r="AB45" s="779" t="s">
        <v>1587</v>
      </c>
      <c r="AC45" s="780"/>
      <c r="AD45" s="780"/>
      <c r="AE45" s="780"/>
      <c r="AF45" s="780"/>
      <c r="AG45" s="780"/>
      <c r="AH45" s="780"/>
      <c r="AI45" s="780"/>
      <c r="AJ45" s="780"/>
      <c r="AK45" s="780"/>
      <c r="AL45" s="780"/>
      <c r="AM45" s="780"/>
      <c r="AN45" s="780"/>
      <c r="AO45" s="780"/>
      <c r="AP45" s="781"/>
      <c r="AS45" s="670"/>
      <c r="AT45" s="670"/>
      <c r="AU45" s="211" t="s">
        <v>1588</v>
      </c>
      <c r="AV45" s="209">
        <v>201.14</v>
      </c>
      <c r="AW45" s="209">
        <v>50.7</v>
      </c>
      <c r="AX45" s="209">
        <v>10.24</v>
      </c>
    </row>
    <row r="46" spans="28:50" ht="43.2" x14ac:dyDescent="0.3">
      <c r="AB46" s="806"/>
      <c r="AC46" s="807"/>
      <c r="AD46" s="807"/>
      <c r="AE46" s="807"/>
      <c r="AF46" s="807"/>
      <c r="AG46" s="807"/>
      <c r="AH46" s="807"/>
      <c r="AI46" s="807"/>
      <c r="AJ46" s="807"/>
      <c r="AK46" s="807"/>
      <c r="AL46" s="807"/>
      <c r="AM46" s="807"/>
      <c r="AN46" s="807"/>
      <c r="AO46" s="807"/>
      <c r="AP46" s="808"/>
      <c r="AS46" s="214" t="s">
        <v>1589</v>
      </c>
      <c r="AT46" s="214" t="s">
        <v>1557</v>
      </c>
      <c r="AU46" s="214" t="s">
        <v>1558</v>
      </c>
      <c r="AV46" s="214" t="s">
        <v>1559</v>
      </c>
      <c r="AW46" s="214" t="s">
        <v>1560</v>
      </c>
      <c r="AX46" s="214" t="s">
        <v>1561</v>
      </c>
    </row>
    <row r="47" spans="28:50" ht="43.2" x14ac:dyDescent="0.3">
      <c r="AB47" s="782"/>
      <c r="AC47" s="783"/>
      <c r="AD47" s="783"/>
      <c r="AE47" s="783"/>
      <c r="AF47" s="783"/>
      <c r="AG47" s="783"/>
      <c r="AH47" s="783"/>
      <c r="AI47" s="783"/>
      <c r="AJ47" s="783"/>
      <c r="AK47" s="783"/>
      <c r="AL47" s="783"/>
      <c r="AM47" s="783"/>
      <c r="AN47" s="783"/>
      <c r="AO47" s="783"/>
      <c r="AP47" s="784"/>
      <c r="AS47" s="217" t="s">
        <v>1590</v>
      </c>
      <c r="AT47" s="213">
        <v>684.9</v>
      </c>
      <c r="AU47" s="213" t="s">
        <v>1591</v>
      </c>
      <c r="AV47" s="213">
        <v>1548.19</v>
      </c>
      <c r="AW47" s="213">
        <v>95.57</v>
      </c>
      <c r="AX47" s="213">
        <v>1643.76</v>
      </c>
    </row>
    <row r="49" spans="45:50" ht="15.6" x14ac:dyDescent="0.3">
      <c r="AS49" s="815" t="s">
        <v>1592</v>
      </c>
      <c r="AT49" s="815"/>
      <c r="AU49" s="815"/>
      <c r="AV49" s="815"/>
    </row>
    <row r="51" spans="45:50" ht="45" customHeight="1" x14ac:dyDescent="0.3">
      <c r="AS51" s="212" t="s">
        <v>1593</v>
      </c>
      <c r="AT51" s="212" t="s">
        <v>1594</v>
      </c>
      <c r="AU51" s="212" t="s">
        <v>1595</v>
      </c>
      <c r="AV51" s="212" t="s">
        <v>1596</v>
      </c>
      <c r="AW51" s="233"/>
      <c r="AX51" s="233"/>
    </row>
    <row r="52" spans="45:50" x14ac:dyDescent="0.3">
      <c r="AS52" s="102">
        <v>50</v>
      </c>
      <c r="AT52" s="102">
        <v>4</v>
      </c>
      <c r="AU52" s="102">
        <v>0.41</v>
      </c>
      <c r="AV52" s="102">
        <v>7482.5</v>
      </c>
    </row>
    <row r="53" spans="45:50" x14ac:dyDescent="0.3">
      <c r="AS53" s="102">
        <v>10</v>
      </c>
      <c r="AT53" s="102">
        <v>3</v>
      </c>
      <c r="AU53" s="102">
        <v>0.38</v>
      </c>
      <c r="AV53" s="102">
        <v>1387</v>
      </c>
    </row>
    <row r="54" spans="45:50" x14ac:dyDescent="0.3">
      <c r="AS54" s="814" t="s">
        <v>1597</v>
      </c>
      <c r="AT54" s="814"/>
      <c r="AU54" s="814"/>
      <c r="AV54" s="234">
        <v>8869.5</v>
      </c>
    </row>
  </sheetData>
  <mergeCells count="20">
    <mergeCell ref="AS54:AU54"/>
    <mergeCell ref="AS49:AV49"/>
    <mergeCell ref="AS38:AS40"/>
    <mergeCell ref="AT38:AT40"/>
    <mergeCell ref="AS43:AS45"/>
    <mergeCell ref="AT43:AT45"/>
    <mergeCell ref="AR11:AW13"/>
    <mergeCell ref="AS30:AS31"/>
    <mergeCell ref="AT30:AT31"/>
    <mergeCell ref="AS32:AS36"/>
    <mergeCell ref="AT32:AT36"/>
    <mergeCell ref="AS23:AS26"/>
    <mergeCell ref="AT23:AT26"/>
    <mergeCell ref="AS27:AS29"/>
    <mergeCell ref="AT27:AT29"/>
    <mergeCell ref="A7:G8"/>
    <mergeCell ref="J6:W8"/>
    <mergeCell ref="AD4:AG4"/>
    <mergeCell ref="AB18:AI22"/>
    <mergeCell ref="AB45:AP47"/>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141427-B22E-4F7F-B9F6-2342B52AD998}">
  <dimension ref="A1"/>
  <sheetViews>
    <sheetView topLeftCell="A38" workbookViewId="0">
      <selection activeCell="K70" sqref="K70"/>
    </sheetView>
  </sheetViews>
  <sheetFormatPr defaultRowHeight="14.4" x14ac:dyDescent="0.3"/>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C868D-F426-4D6F-9D2E-77636C76A01E}">
  <dimension ref="B4:U50"/>
  <sheetViews>
    <sheetView topLeftCell="A42" workbookViewId="0">
      <selection activeCell="N48" sqref="N48:O52"/>
    </sheetView>
  </sheetViews>
  <sheetFormatPr defaultRowHeight="14.4" x14ac:dyDescent="0.3"/>
  <cols>
    <col min="2" max="2" width="15.88671875" customWidth="1"/>
    <col min="3" max="3" width="21.5546875" customWidth="1"/>
    <col min="4" max="4" width="13.5546875" customWidth="1"/>
    <col min="5" max="5" width="18" customWidth="1"/>
    <col min="6" max="6" width="11" customWidth="1"/>
    <col min="7" max="7" width="13.88671875" customWidth="1"/>
    <col min="8" max="8" width="17" bestFit="1" customWidth="1"/>
    <col min="9" max="9" width="12.6640625" customWidth="1"/>
    <col min="11" max="11" width="13.44140625" customWidth="1"/>
    <col min="21" max="21" width="11.109375" customWidth="1"/>
  </cols>
  <sheetData>
    <row r="4" spans="3:13" x14ac:dyDescent="0.3">
      <c r="D4" s="816" t="s">
        <v>1598</v>
      </c>
      <c r="E4" s="816"/>
      <c r="F4" s="816"/>
      <c r="G4" s="816"/>
      <c r="H4" t="s">
        <v>1599</v>
      </c>
    </row>
    <row r="6" spans="3:13" x14ac:dyDescent="0.3">
      <c r="E6" s="817" t="s">
        <v>1600</v>
      </c>
      <c r="F6" s="817"/>
      <c r="G6" s="817"/>
      <c r="H6" s="817"/>
      <c r="I6" s="127" t="s">
        <v>1601</v>
      </c>
      <c r="J6" s="127"/>
    </row>
    <row r="7" spans="3:13" x14ac:dyDescent="0.3">
      <c r="E7" s="127"/>
      <c r="F7" s="127"/>
    </row>
    <row r="8" spans="3:13" x14ac:dyDescent="0.3">
      <c r="E8" s="818" t="s">
        <v>1602</v>
      </c>
      <c r="F8" s="818"/>
      <c r="G8" s="818"/>
      <c r="H8" s="818"/>
      <c r="I8" s="818"/>
    </row>
    <row r="9" spans="3:13" x14ac:dyDescent="0.3">
      <c r="E9" s="127"/>
      <c r="F9" s="127"/>
    </row>
    <row r="10" spans="3:13" x14ac:dyDescent="0.3">
      <c r="E10" s="818" t="s">
        <v>1603</v>
      </c>
      <c r="F10" s="818"/>
      <c r="G10" s="818"/>
      <c r="H10" s="818"/>
      <c r="I10" s="818"/>
      <c r="L10" s="43" t="s">
        <v>1604</v>
      </c>
      <c r="M10" t="s">
        <v>1605</v>
      </c>
    </row>
    <row r="11" spans="3:13" x14ac:dyDescent="0.3">
      <c r="E11" s="127"/>
      <c r="F11" s="127"/>
    </row>
    <row r="14" spans="3:13" x14ac:dyDescent="0.3">
      <c r="C14" s="803" t="s">
        <v>1606</v>
      </c>
      <c r="D14" s="803"/>
      <c r="E14" s="803"/>
      <c r="F14" s="803"/>
    </row>
    <row r="16" spans="3:13" x14ac:dyDescent="0.3">
      <c r="C16" s="43" t="s">
        <v>1607</v>
      </c>
      <c r="D16" s="819" t="s">
        <v>1608</v>
      </c>
      <c r="E16" s="819"/>
      <c r="F16" s="819"/>
      <c r="G16" s="819"/>
      <c r="H16" s="819"/>
      <c r="I16" s="819"/>
      <c r="J16" s="819"/>
    </row>
    <row r="17" spans="2:21" x14ac:dyDescent="0.3">
      <c r="C17" s="43" t="s">
        <v>1609</v>
      </c>
      <c r="D17" s="819" t="s">
        <v>1610</v>
      </c>
      <c r="E17" s="819"/>
      <c r="F17" s="819"/>
      <c r="G17" s="819"/>
      <c r="H17" s="819"/>
      <c r="I17" s="819"/>
      <c r="J17" s="819"/>
    </row>
    <row r="18" spans="2:21" x14ac:dyDescent="0.3">
      <c r="C18" s="43" t="s">
        <v>1611</v>
      </c>
      <c r="D18" s="819" t="s">
        <v>1612</v>
      </c>
      <c r="E18" s="819"/>
      <c r="F18" s="819"/>
      <c r="G18" s="819"/>
      <c r="H18" s="819"/>
      <c r="I18" s="819"/>
      <c r="J18" s="819"/>
    </row>
    <row r="19" spans="2:21" x14ac:dyDescent="0.3">
      <c r="C19" s="43" t="s">
        <v>1613</v>
      </c>
      <c r="D19" s="819" t="s">
        <v>1614</v>
      </c>
      <c r="E19" s="819"/>
      <c r="F19" s="819"/>
      <c r="G19" s="819"/>
      <c r="H19" s="819"/>
      <c r="I19" s="819"/>
      <c r="J19" s="819"/>
    </row>
    <row r="20" spans="2:21" x14ac:dyDescent="0.3">
      <c r="C20" s="43" t="s">
        <v>1615</v>
      </c>
      <c r="D20" s="819" t="s">
        <v>1616</v>
      </c>
      <c r="E20" s="819"/>
      <c r="F20" s="819"/>
      <c r="G20" s="819"/>
      <c r="H20" s="819"/>
      <c r="I20" s="819"/>
      <c r="J20" s="819"/>
    </row>
    <row r="21" spans="2:21" x14ac:dyDescent="0.3">
      <c r="C21" s="43" t="s">
        <v>1617</v>
      </c>
      <c r="D21" s="819" t="s">
        <v>1618</v>
      </c>
      <c r="E21" s="819"/>
      <c r="F21" s="819"/>
      <c r="G21" s="819"/>
      <c r="H21" s="819"/>
      <c r="I21" s="819"/>
      <c r="J21" s="819"/>
    </row>
    <row r="22" spans="2:21" x14ac:dyDescent="0.3">
      <c r="C22" s="43"/>
    </row>
    <row r="23" spans="2:21" x14ac:dyDescent="0.3">
      <c r="C23" s="43"/>
    </row>
    <row r="24" spans="2:21" x14ac:dyDescent="0.3">
      <c r="C24" s="43"/>
    </row>
    <row r="27" spans="2:21" x14ac:dyDescent="0.3">
      <c r="B27" t="s">
        <v>1619</v>
      </c>
    </row>
    <row r="29" spans="2:21" x14ac:dyDescent="0.3">
      <c r="B29" t="s">
        <v>1620</v>
      </c>
    </row>
    <row r="30" spans="2:21" x14ac:dyDescent="0.3">
      <c r="D30" s="724" t="s">
        <v>1621</v>
      </c>
      <c r="E30" s="725"/>
      <c r="F30" s="725"/>
      <c r="G30" s="725"/>
      <c r="H30" s="725"/>
      <c r="I30" s="725"/>
      <c r="J30" s="725"/>
      <c r="K30" s="725"/>
      <c r="L30" s="725"/>
      <c r="M30" s="725"/>
      <c r="N30" s="725"/>
      <c r="O30" s="725"/>
      <c r="P30" s="725"/>
      <c r="Q30" s="725"/>
      <c r="R30" s="725"/>
      <c r="S30" s="725"/>
      <c r="T30" s="725"/>
      <c r="U30" s="726"/>
    </row>
    <row r="31" spans="2:21" x14ac:dyDescent="0.3">
      <c r="C31" s="65"/>
      <c r="D31" s="169" t="s">
        <v>914</v>
      </c>
      <c r="E31" s="170" t="s">
        <v>1622</v>
      </c>
      <c r="F31" s="170" t="s">
        <v>1623</v>
      </c>
      <c r="G31" s="170" t="s">
        <v>1624</v>
      </c>
      <c r="H31" s="170" t="s">
        <v>1625</v>
      </c>
      <c r="I31" s="170" t="s">
        <v>1626</v>
      </c>
      <c r="J31" s="170" t="s">
        <v>41</v>
      </c>
      <c r="K31" s="170" t="s">
        <v>1627</v>
      </c>
      <c r="L31" s="170" t="s">
        <v>1628</v>
      </c>
      <c r="M31" s="170" t="s">
        <v>1629</v>
      </c>
      <c r="N31" s="170" t="s">
        <v>1630</v>
      </c>
      <c r="O31" s="170" t="s">
        <v>1631</v>
      </c>
      <c r="P31" s="170" t="s">
        <v>1632</v>
      </c>
      <c r="Q31" s="170" t="s">
        <v>1633</v>
      </c>
      <c r="R31" s="170" t="s">
        <v>1634</v>
      </c>
      <c r="S31" s="170" t="s">
        <v>1635</v>
      </c>
      <c r="T31" s="170" t="s">
        <v>1636</v>
      </c>
      <c r="U31" s="171" t="s">
        <v>1637</v>
      </c>
    </row>
    <row r="32" spans="2:21" x14ac:dyDescent="0.3">
      <c r="C32" s="149" t="s">
        <v>1638</v>
      </c>
      <c r="D32" s="141">
        <v>109437</v>
      </c>
      <c r="E32" s="128">
        <v>14431</v>
      </c>
      <c r="F32" s="128">
        <v>121</v>
      </c>
      <c r="G32" s="128">
        <v>5180</v>
      </c>
      <c r="H32" s="128">
        <v>757</v>
      </c>
      <c r="I32" s="128">
        <v>102</v>
      </c>
      <c r="J32" s="128">
        <v>9534</v>
      </c>
      <c r="K32" s="128">
        <v>18558</v>
      </c>
      <c r="L32" s="128">
        <v>2443</v>
      </c>
      <c r="M32" s="128">
        <v>7965</v>
      </c>
      <c r="N32" s="128">
        <v>1314</v>
      </c>
      <c r="O32" s="128">
        <v>2544</v>
      </c>
      <c r="P32" s="128">
        <v>10788</v>
      </c>
      <c r="Q32" s="128">
        <v>11884</v>
      </c>
      <c r="R32" s="128">
        <v>5693</v>
      </c>
      <c r="S32" s="128">
        <v>10616</v>
      </c>
      <c r="T32" s="128">
        <v>2485</v>
      </c>
      <c r="U32" s="142">
        <v>5022</v>
      </c>
    </row>
    <row r="33" spans="2:21" x14ac:dyDescent="0.3">
      <c r="C33" s="150" t="s">
        <v>1639</v>
      </c>
      <c r="D33" s="143">
        <v>273145</v>
      </c>
      <c r="E33" s="129">
        <v>28977</v>
      </c>
      <c r="F33" s="129">
        <v>384</v>
      </c>
      <c r="G33" s="129">
        <v>16389</v>
      </c>
      <c r="H33" s="129">
        <v>1687</v>
      </c>
      <c r="I33" s="129">
        <v>352</v>
      </c>
      <c r="J33" s="129">
        <v>25336</v>
      </c>
      <c r="K33" s="129">
        <v>49881</v>
      </c>
      <c r="L33" s="129">
        <v>5908</v>
      </c>
      <c r="M33" s="129">
        <v>19939</v>
      </c>
      <c r="N33" s="129">
        <v>3601</v>
      </c>
      <c r="O33" s="129">
        <v>7926</v>
      </c>
      <c r="P33" s="129">
        <v>25997</v>
      </c>
      <c r="Q33" s="129">
        <v>32257</v>
      </c>
      <c r="R33" s="129">
        <v>13077</v>
      </c>
      <c r="S33" s="129">
        <v>21753</v>
      </c>
      <c r="T33" s="129">
        <v>6417</v>
      </c>
      <c r="U33" s="144">
        <v>13264</v>
      </c>
    </row>
    <row r="34" spans="2:21" x14ac:dyDescent="0.3">
      <c r="C34" s="151" t="s">
        <v>1640</v>
      </c>
      <c r="D34" s="145" t="s">
        <v>1641</v>
      </c>
      <c r="E34" s="129">
        <v>13</v>
      </c>
      <c r="F34" s="129">
        <v>0</v>
      </c>
      <c r="G34" s="129">
        <v>5</v>
      </c>
      <c r="H34" s="129">
        <v>1</v>
      </c>
      <c r="I34" s="129">
        <v>0</v>
      </c>
      <c r="J34" s="129">
        <v>9</v>
      </c>
      <c r="K34" s="129">
        <v>17</v>
      </c>
      <c r="L34" s="129">
        <v>2</v>
      </c>
      <c r="M34" s="129">
        <v>7</v>
      </c>
      <c r="N34" s="129">
        <v>1</v>
      </c>
      <c r="O34" s="129">
        <v>2</v>
      </c>
      <c r="P34" s="129">
        <v>10</v>
      </c>
      <c r="Q34" s="129">
        <v>11</v>
      </c>
      <c r="R34" s="129">
        <v>5</v>
      </c>
      <c r="S34" s="129">
        <v>10</v>
      </c>
      <c r="T34" s="129">
        <v>2</v>
      </c>
      <c r="U34" s="144">
        <v>5</v>
      </c>
    </row>
    <row r="35" spans="2:21" x14ac:dyDescent="0.3">
      <c r="C35" s="172" t="s">
        <v>1642</v>
      </c>
      <c r="D35" s="173">
        <v>54871</v>
      </c>
      <c r="E35" s="174">
        <v>4667</v>
      </c>
      <c r="F35" s="174">
        <v>50</v>
      </c>
      <c r="G35" s="174">
        <v>2413</v>
      </c>
      <c r="H35" s="174">
        <v>430</v>
      </c>
      <c r="I35" s="174">
        <v>49</v>
      </c>
      <c r="J35" s="174">
        <v>4404</v>
      </c>
      <c r="K35" s="174">
        <v>9064</v>
      </c>
      <c r="L35" s="174">
        <v>1262</v>
      </c>
      <c r="M35" s="174">
        <v>3732</v>
      </c>
      <c r="N35" s="174">
        <v>751</v>
      </c>
      <c r="O35" s="174">
        <v>1434</v>
      </c>
      <c r="P35" s="174">
        <v>6114</v>
      </c>
      <c r="Q35" s="174">
        <v>7209</v>
      </c>
      <c r="R35" s="174">
        <v>2952</v>
      </c>
      <c r="S35" s="174">
        <v>6312</v>
      </c>
      <c r="T35" s="174">
        <v>1408</v>
      </c>
      <c r="U35" s="175">
        <v>2620</v>
      </c>
    </row>
    <row r="36" spans="2:21" x14ac:dyDescent="0.3">
      <c r="C36" s="152" t="s">
        <v>1640</v>
      </c>
      <c r="D36" s="145" t="s">
        <v>1641</v>
      </c>
      <c r="E36" s="129">
        <v>9</v>
      </c>
      <c r="F36" s="129">
        <v>0</v>
      </c>
      <c r="G36" s="129">
        <v>4</v>
      </c>
      <c r="H36" s="129">
        <v>1</v>
      </c>
      <c r="I36" s="129">
        <v>0</v>
      </c>
      <c r="J36" s="129">
        <v>8</v>
      </c>
      <c r="K36" s="129">
        <v>17</v>
      </c>
      <c r="L36" s="129">
        <v>2</v>
      </c>
      <c r="M36" s="129">
        <v>7</v>
      </c>
      <c r="N36" s="129">
        <v>1</v>
      </c>
      <c r="O36" s="129">
        <v>3</v>
      </c>
      <c r="P36" s="129">
        <v>11</v>
      </c>
      <c r="Q36" s="129">
        <v>13</v>
      </c>
      <c r="R36" s="129">
        <v>5</v>
      </c>
      <c r="S36" s="129">
        <v>12</v>
      </c>
      <c r="T36" s="129">
        <v>3</v>
      </c>
      <c r="U36" s="144">
        <v>5</v>
      </c>
    </row>
    <row r="37" spans="2:21" x14ac:dyDescent="0.3">
      <c r="C37" s="176" t="s">
        <v>1643</v>
      </c>
      <c r="D37" s="173">
        <v>29221</v>
      </c>
      <c r="E37" s="174">
        <v>4301</v>
      </c>
      <c r="F37" s="174">
        <v>39</v>
      </c>
      <c r="G37" s="174">
        <v>1483</v>
      </c>
      <c r="H37" s="174">
        <v>172</v>
      </c>
      <c r="I37" s="174">
        <v>29</v>
      </c>
      <c r="J37" s="174">
        <v>2975</v>
      </c>
      <c r="K37" s="174">
        <v>5100</v>
      </c>
      <c r="L37" s="174">
        <v>619</v>
      </c>
      <c r="M37" s="174">
        <v>2124</v>
      </c>
      <c r="N37" s="174">
        <v>299</v>
      </c>
      <c r="O37" s="174">
        <v>679</v>
      </c>
      <c r="P37" s="174">
        <v>2630</v>
      </c>
      <c r="Q37" s="174">
        <v>2827</v>
      </c>
      <c r="R37" s="174">
        <v>1523</v>
      </c>
      <c r="S37" s="174">
        <v>2505</v>
      </c>
      <c r="T37" s="174">
        <v>634</v>
      </c>
      <c r="U37" s="175">
        <v>1282</v>
      </c>
    </row>
    <row r="38" spans="2:21" x14ac:dyDescent="0.3">
      <c r="C38" s="153" t="s">
        <v>1640</v>
      </c>
      <c r="D38" s="145" t="s">
        <v>1641</v>
      </c>
      <c r="E38" s="129">
        <v>15</v>
      </c>
      <c r="F38" s="129">
        <v>0</v>
      </c>
      <c r="G38" s="129">
        <v>5</v>
      </c>
      <c r="H38" s="129">
        <v>1</v>
      </c>
      <c r="I38" s="129">
        <v>0</v>
      </c>
      <c r="J38" s="129">
        <v>10</v>
      </c>
      <c r="K38" s="129">
        <v>17</v>
      </c>
      <c r="L38" s="129">
        <v>2</v>
      </c>
      <c r="M38" s="129">
        <v>7</v>
      </c>
      <c r="N38" s="129">
        <v>1</v>
      </c>
      <c r="O38" s="129">
        <v>2</v>
      </c>
      <c r="P38" s="129">
        <v>9</v>
      </c>
      <c r="Q38" s="129">
        <v>10</v>
      </c>
      <c r="R38" s="129">
        <v>5</v>
      </c>
      <c r="S38" s="129">
        <v>9</v>
      </c>
      <c r="T38" s="129">
        <v>2</v>
      </c>
      <c r="U38" s="144">
        <v>4</v>
      </c>
    </row>
    <row r="39" spans="2:21" x14ac:dyDescent="0.3">
      <c r="C39" s="176" t="s">
        <v>1644</v>
      </c>
      <c r="D39" s="173">
        <v>25345</v>
      </c>
      <c r="E39" s="174">
        <v>5463</v>
      </c>
      <c r="F39" s="174">
        <v>32</v>
      </c>
      <c r="G39" s="174">
        <v>1284</v>
      </c>
      <c r="H39" s="174">
        <v>155</v>
      </c>
      <c r="I39" s="174">
        <v>24</v>
      </c>
      <c r="J39" s="174">
        <v>2155</v>
      </c>
      <c r="K39" s="174">
        <v>4394</v>
      </c>
      <c r="L39" s="174">
        <v>562</v>
      </c>
      <c r="M39" s="174">
        <v>2109</v>
      </c>
      <c r="N39" s="174">
        <v>264</v>
      </c>
      <c r="O39" s="174">
        <v>431</v>
      </c>
      <c r="P39" s="174">
        <v>2044</v>
      </c>
      <c r="Q39" s="174">
        <v>1848</v>
      </c>
      <c r="R39" s="174">
        <v>1218</v>
      </c>
      <c r="S39" s="174">
        <v>1799</v>
      </c>
      <c r="T39" s="174">
        <v>443</v>
      </c>
      <c r="U39" s="175">
        <v>1120</v>
      </c>
    </row>
    <row r="40" spans="2:21" x14ac:dyDescent="0.3">
      <c r="C40" s="153" t="s">
        <v>1640</v>
      </c>
      <c r="D40" s="146" t="s">
        <v>1641</v>
      </c>
      <c r="E40" s="147">
        <v>22</v>
      </c>
      <c r="F40" s="147">
        <v>0</v>
      </c>
      <c r="G40" s="147">
        <v>5</v>
      </c>
      <c r="H40" s="147">
        <v>1</v>
      </c>
      <c r="I40" s="147">
        <v>0</v>
      </c>
      <c r="J40" s="147">
        <v>9</v>
      </c>
      <c r="K40" s="147">
        <v>17</v>
      </c>
      <c r="L40" s="147">
        <v>2</v>
      </c>
      <c r="M40" s="147">
        <v>8</v>
      </c>
      <c r="N40" s="147">
        <v>1</v>
      </c>
      <c r="O40" s="147">
        <v>2</v>
      </c>
      <c r="P40" s="147">
        <v>8</v>
      </c>
      <c r="Q40" s="147">
        <v>7</v>
      </c>
      <c r="R40" s="147">
        <v>5</v>
      </c>
      <c r="S40" s="147">
        <v>7</v>
      </c>
      <c r="T40" s="147">
        <v>2</v>
      </c>
      <c r="U40" s="148">
        <v>4</v>
      </c>
    </row>
    <row r="44" spans="2:21" ht="57.75" customHeight="1" x14ac:dyDescent="0.3">
      <c r="C44" s="178" t="s">
        <v>1645</v>
      </c>
      <c r="D44" s="231" t="s">
        <v>1646</v>
      </c>
      <c r="E44" s="186" t="s">
        <v>1647</v>
      </c>
      <c r="F44" s="189" t="s">
        <v>1648</v>
      </c>
      <c r="G44" s="189" t="s">
        <v>1649</v>
      </c>
      <c r="H44" s="189" t="s">
        <v>1650</v>
      </c>
      <c r="I44" s="190" t="s">
        <v>1651</v>
      </c>
      <c r="J44" s="190" t="s">
        <v>1652</v>
      </c>
      <c r="K44" s="190" t="s">
        <v>520</v>
      </c>
    </row>
    <row r="45" spans="2:21" x14ac:dyDescent="0.3">
      <c r="C45" s="224" t="s">
        <v>1653</v>
      </c>
      <c r="D45" s="232" t="s">
        <v>1654</v>
      </c>
      <c r="E45" s="225" t="s">
        <v>144</v>
      </c>
      <c r="F45" s="227" t="s">
        <v>1655</v>
      </c>
      <c r="G45" s="189" t="s">
        <v>144</v>
      </c>
      <c r="H45" s="227" t="s">
        <v>144</v>
      </c>
      <c r="I45" s="189"/>
      <c r="J45" s="189"/>
      <c r="K45" s="226" t="s">
        <v>1656</v>
      </c>
    </row>
    <row r="46" spans="2:21" x14ac:dyDescent="0.3">
      <c r="B46" s="183" t="s">
        <v>1657</v>
      </c>
      <c r="C46" s="179">
        <v>3685</v>
      </c>
      <c r="D46" s="203">
        <v>10359</v>
      </c>
      <c r="E46" s="200">
        <v>4157551279</v>
      </c>
      <c r="F46" s="187">
        <v>214470.70199999999</v>
      </c>
      <c r="G46" s="216"/>
      <c r="I46" s="221">
        <f>E46+G46</f>
        <v>4157551279</v>
      </c>
      <c r="J46" s="611">
        <f>I46-H46</f>
        <v>4157551279</v>
      </c>
      <c r="K46" s="218">
        <f>F46/J46</f>
        <v>5.1585822424681147E-5</v>
      </c>
    </row>
    <row r="47" spans="2:21" x14ac:dyDescent="0.3">
      <c r="B47" s="184" t="s">
        <v>1658</v>
      </c>
      <c r="C47" s="179">
        <v>2168</v>
      </c>
      <c r="D47" s="203">
        <v>3259</v>
      </c>
      <c r="E47" s="201">
        <f>(C47/$C$46)*$E$46</f>
        <v>2446016600.5080056</v>
      </c>
      <c r="F47" s="187">
        <v>40977.603000000003</v>
      </c>
      <c r="G47" s="180"/>
      <c r="I47" s="222">
        <f>E47+G47</f>
        <v>2446016600.5080056</v>
      </c>
      <c r="J47" s="218">
        <f>I47-H47</f>
        <v>2446016600.5080056</v>
      </c>
      <c r="K47" s="218">
        <f>F47/J47</f>
        <v>1.675279022697127E-5</v>
      </c>
    </row>
    <row r="48" spans="2:21" x14ac:dyDescent="0.3">
      <c r="B48" s="184" t="s">
        <v>1642</v>
      </c>
      <c r="C48" s="179">
        <v>986</v>
      </c>
      <c r="D48" s="203">
        <v>618</v>
      </c>
      <c r="E48" s="201">
        <f>(C48/$C$46)*$E$46</f>
        <v>1112441129.197829</v>
      </c>
      <c r="F48" s="187">
        <v>8317.393</v>
      </c>
      <c r="G48" s="180"/>
      <c r="I48" s="222">
        <f>E48+G48</f>
        <v>1112441129.197829</v>
      </c>
      <c r="J48" s="218">
        <f>I48-H48</f>
        <v>1112441129.197829</v>
      </c>
      <c r="K48" s="218">
        <f>F48/J48</f>
        <v>7.4767039636493795E-6</v>
      </c>
    </row>
    <row r="49" spans="2:11" x14ac:dyDescent="0.3">
      <c r="B49" s="184" t="s">
        <v>1643</v>
      </c>
      <c r="C49" s="179">
        <v>25</v>
      </c>
      <c r="D49" s="203">
        <v>127</v>
      </c>
      <c r="E49" s="201">
        <f>(C49/$C$46)*$E$46</f>
        <v>28205910.983717777</v>
      </c>
      <c r="F49" s="187">
        <v>4174.1350000000002</v>
      </c>
      <c r="G49" s="180"/>
      <c r="I49" s="222">
        <f>E49+G49</f>
        <v>28205910.983717777</v>
      </c>
      <c r="J49" s="218">
        <f>I49-H49</f>
        <v>28205910.983717777</v>
      </c>
      <c r="K49" s="218">
        <f>F49/J49</f>
        <v>1.4798795197253417E-4</v>
      </c>
    </row>
    <row r="50" spans="2:11" ht="18.75" customHeight="1" x14ac:dyDescent="0.3">
      <c r="B50" s="185" t="s">
        <v>1644</v>
      </c>
      <c r="C50" s="181">
        <v>8</v>
      </c>
      <c r="D50" s="204">
        <v>14</v>
      </c>
      <c r="E50" s="202">
        <f>(C50/$C$46)*$E$46</f>
        <v>9025891.5147896893</v>
      </c>
      <c r="F50" s="188">
        <v>3103.971</v>
      </c>
      <c r="G50" s="182"/>
      <c r="H50" s="220"/>
      <c r="I50" s="223">
        <f>E50+G50</f>
        <v>9025891.5147896893</v>
      </c>
      <c r="J50" s="219">
        <f>I50-H50</f>
        <v>9025891.5147896893</v>
      </c>
      <c r="K50" s="219">
        <f>F50/J50</f>
        <v>3.4389633366564178E-4</v>
      </c>
    </row>
  </sheetData>
  <mergeCells count="12">
    <mergeCell ref="D4:G4"/>
    <mergeCell ref="E6:H6"/>
    <mergeCell ref="E10:I10"/>
    <mergeCell ref="E8:I8"/>
    <mergeCell ref="D30:U30"/>
    <mergeCell ref="D21:J21"/>
    <mergeCell ref="C14:F14"/>
    <mergeCell ref="D16:J16"/>
    <mergeCell ref="D17:J17"/>
    <mergeCell ref="D18:J18"/>
    <mergeCell ref="D19:J19"/>
    <mergeCell ref="D20:J20"/>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5948B-0706-47E5-B59D-00C5647AECDF}">
  <dimension ref="A1"/>
  <sheetViews>
    <sheetView topLeftCell="A8" workbookViewId="0"/>
  </sheetViews>
  <sheetFormatPr defaultRowHeight="14.4" x14ac:dyDescent="0.3"/>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D17C41-4592-4BCB-AF67-FCD69A98C0C0}">
  <dimension ref="A1"/>
  <sheetViews>
    <sheetView workbookViewId="0">
      <selection activeCell="AB26" sqref="AB26"/>
    </sheetView>
  </sheetViews>
  <sheetFormatPr defaultRowHeight="14.4" x14ac:dyDescent="0.3"/>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DD72FF-99B8-4F58-9862-D259ECFAFF3D}">
  <dimension ref="A1"/>
  <sheetViews>
    <sheetView topLeftCell="A27" workbookViewId="0"/>
  </sheetViews>
  <sheetFormatPr defaultRowHeight="14.4" x14ac:dyDescent="0.3"/>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50CE07-DABA-4F66-A68B-64C9EBE0D859}">
  <dimension ref="A1:L44"/>
  <sheetViews>
    <sheetView workbookViewId="0">
      <selection activeCell="E4" sqref="E4"/>
    </sheetView>
  </sheetViews>
  <sheetFormatPr defaultRowHeight="14.4" x14ac:dyDescent="0.3"/>
  <cols>
    <col min="1" max="1" width="27.33203125" customWidth="1"/>
    <col min="3" max="3" width="9.33203125" bestFit="1" customWidth="1"/>
  </cols>
  <sheetData>
    <row r="1" spans="1:12" x14ac:dyDescent="0.3">
      <c r="A1" t="s">
        <v>51</v>
      </c>
      <c r="F1" t="s">
        <v>52</v>
      </c>
    </row>
    <row r="2" spans="1:12" x14ac:dyDescent="0.3">
      <c r="A2" t="s">
        <v>53</v>
      </c>
      <c r="F2" t="s">
        <v>53</v>
      </c>
    </row>
    <row r="4" spans="1:12" x14ac:dyDescent="0.3">
      <c r="A4" s="2" t="s">
        <v>54</v>
      </c>
      <c r="B4" s="2" t="s">
        <v>55</v>
      </c>
      <c r="C4" s="2"/>
      <c r="F4" s="2" t="s">
        <v>54</v>
      </c>
      <c r="G4" s="2" t="s">
        <v>55</v>
      </c>
      <c r="H4" s="2"/>
      <c r="L4" t="s">
        <v>56</v>
      </c>
    </row>
    <row r="5" spans="1:12" x14ac:dyDescent="0.3">
      <c r="A5" t="s">
        <v>57</v>
      </c>
      <c r="B5" t="s">
        <v>58</v>
      </c>
      <c r="F5" t="s">
        <v>59</v>
      </c>
    </row>
    <row r="6" spans="1:12" x14ac:dyDescent="0.3">
      <c r="A6" t="s">
        <v>60</v>
      </c>
      <c r="B6" t="s">
        <v>58</v>
      </c>
      <c r="C6">
        <v>2.5</v>
      </c>
      <c r="F6" t="s">
        <v>60</v>
      </c>
      <c r="G6" t="s">
        <v>58</v>
      </c>
      <c r="H6">
        <v>2.5</v>
      </c>
    </row>
    <row r="7" spans="1:12" x14ac:dyDescent="0.3">
      <c r="A7" t="s">
        <v>61</v>
      </c>
      <c r="B7" t="s">
        <v>58</v>
      </c>
      <c r="C7">
        <v>0.18</v>
      </c>
      <c r="F7" t="s">
        <v>62</v>
      </c>
      <c r="G7" t="s">
        <v>58</v>
      </c>
      <c r="H7">
        <v>0.18</v>
      </c>
    </row>
    <row r="8" spans="1:12" x14ac:dyDescent="0.3">
      <c r="A8" t="s">
        <v>63</v>
      </c>
      <c r="B8" t="s">
        <v>58</v>
      </c>
      <c r="C8">
        <v>2.5</v>
      </c>
      <c r="F8" t="s">
        <v>64</v>
      </c>
      <c r="G8" t="s">
        <v>58</v>
      </c>
      <c r="H8">
        <v>2.5</v>
      </c>
    </row>
    <row r="9" spans="1:12" x14ac:dyDescent="0.3">
      <c r="A9" t="s">
        <v>65</v>
      </c>
      <c r="B9" t="s">
        <v>58</v>
      </c>
      <c r="C9">
        <v>0.54</v>
      </c>
      <c r="F9" t="s">
        <v>66</v>
      </c>
      <c r="G9" t="s">
        <v>67</v>
      </c>
      <c r="H9" s="71">
        <v>1.9300000000000001E-3</v>
      </c>
    </row>
    <row r="10" spans="1:12" x14ac:dyDescent="0.3">
      <c r="A10" t="s">
        <v>68</v>
      </c>
      <c r="B10" t="s">
        <v>58</v>
      </c>
      <c r="C10">
        <v>5.0999999999999997E-2</v>
      </c>
      <c r="F10" t="s">
        <v>69</v>
      </c>
      <c r="G10" t="s">
        <v>70</v>
      </c>
      <c r="H10">
        <v>3.51</v>
      </c>
    </row>
    <row r="11" spans="1:12" x14ac:dyDescent="0.3">
      <c r="A11" t="s">
        <v>69</v>
      </c>
      <c r="F11" t="s">
        <v>71</v>
      </c>
      <c r="G11" t="s">
        <v>58</v>
      </c>
      <c r="H11">
        <v>2.9</v>
      </c>
    </row>
    <row r="12" spans="1:12" x14ac:dyDescent="0.3">
      <c r="A12" t="s">
        <v>72</v>
      </c>
      <c r="B12" t="s">
        <v>67</v>
      </c>
      <c r="C12">
        <v>3.2000000000000002E-3</v>
      </c>
      <c r="F12" t="s">
        <v>73</v>
      </c>
    </row>
    <row r="13" spans="1:12" x14ac:dyDescent="0.3">
      <c r="A13" t="s">
        <v>74</v>
      </c>
      <c r="B13" t="s">
        <v>67</v>
      </c>
      <c r="C13" s="71">
        <v>3.1E-4</v>
      </c>
      <c r="F13" t="s">
        <v>75</v>
      </c>
      <c r="G13" t="s">
        <v>76</v>
      </c>
      <c r="H13">
        <v>0.11</v>
      </c>
    </row>
    <row r="14" spans="1:12" x14ac:dyDescent="0.3">
      <c r="A14" t="s">
        <v>77</v>
      </c>
      <c r="B14" t="s">
        <v>78</v>
      </c>
      <c r="C14" s="71">
        <v>3.1000000000000001E-5</v>
      </c>
      <c r="F14" t="s">
        <v>79</v>
      </c>
      <c r="G14" t="s">
        <v>67</v>
      </c>
      <c r="H14" s="71">
        <v>2.2499999999999998E-3</v>
      </c>
    </row>
    <row r="15" spans="1:12" x14ac:dyDescent="0.3">
      <c r="A15" t="s">
        <v>80</v>
      </c>
      <c r="B15" t="s">
        <v>58</v>
      </c>
      <c r="C15">
        <v>2.5</v>
      </c>
      <c r="F15" t="s">
        <v>81</v>
      </c>
      <c r="G15" t="s">
        <v>82</v>
      </c>
      <c r="H15">
        <v>29</v>
      </c>
    </row>
    <row r="16" spans="1:12" x14ac:dyDescent="0.3">
      <c r="A16" t="s">
        <v>73</v>
      </c>
      <c r="F16" s="2" t="s">
        <v>83</v>
      </c>
      <c r="G16" s="2"/>
      <c r="H16" s="2"/>
    </row>
    <row r="17" spans="1:8" x14ac:dyDescent="0.3">
      <c r="A17" t="s">
        <v>84</v>
      </c>
      <c r="B17" t="s">
        <v>76</v>
      </c>
      <c r="C17">
        <v>0.11</v>
      </c>
      <c r="F17" t="s">
        <v>85</v>
      </c>
      <c r="G17" t="s">
        <v>58</v>
      </c>
      <c r="H17">
        <v>1.7</v>
      </c>
    </row>
    <row r="18" spans="1:8" x14ac:dyDescent="0.3">
      <c r="A18" t="s">
        <v>86</v>
      </c>
      <c r="B18" t="s">
        <v>58</v>
      </c>
      <c r="C18" s="71">
        <v>2.9E-5</v>
      </c>
      <c r="F18" t="s">
        <v>87</v>
      </c>
      <c r="G18" t="s">
        <v>88</v>
      </c>
      <c r="H18">
        <v>1.1000000000000001</v>
      </c>
    </row>
    <row r="19" spans="1:8" x14ac:dyDescent="0.3">
      <c r="A19" t="s">
        <v>89</v>
      </c>
      <c r="B19" t="s">
        <v>58</v>
      </c>
      <c r="C19">
        <v>0.63</v>
      </c>
      <c r="F19" t="s">
        <v>90</v>
      </c>
      <c r="G19" t="s">
        <v>88</v>
      </c>
      <c r="H19">
        <v>4.5</v>
      </c>
    </row>
    <row r="20" spans="1:8" x14ac:dyDescent="0.3">
      <c r="A20" t="s">
        <v>91</v>
      </c>
      <c r="B20" t="s">
        <v>78</v>
      </c>
      <c r="C20" s="71">
        <v>7.7999999999999999E-4</v>
      </c>
      <c r="F20" t="s">
        <v>92</v>
      </c>
      <c r="G20" t="s">
        <v>88</v>
      </c>
      <c r="H20">
        <v>5.25</v>
      </c>
    </row>
    <row r="21" spans="1:8" x14ac:dyDescent="0.3">
      <c r="A21" s="2" t="s">
        <v>83</v>
      </c>
      <c r="B21" s="2"/>
      <c r="C21" s="2"/>
      <c r="F21" s="2" t="s">
        <v>93</v>
      </c>
      <c r="G21" s="2"/>
      <c r="H21" s="2"/>
    </row>
    <row r="22" spans="1:8" x14ac:dyDescent="0.3">
      <c r="A22" t="s">
        <v>94</v>
      </c>
      <c r="B22" t="s">
        <v>78</v>
      </c>
      <c r="C22">
        <v>1</v>
      </c>
      <c r="F22" t="s">
        <v>95</v>
      </c>
      <c r="G22" t="s">
        <v>88</v>
      </c>
      <c r="H22">
        <v>21.5</v>
      </c>
    </row>
    <row r="23" spans="1:8" x14ac:dyDescent="0.3">
      <c r="A23" t="s">
        <v>96</v>
      </c>
      <c r="F23" t="s">
        <v>97</v>
      </c>
      <c r="G23" t="s">
        <v>82</v>
      </c>
      <c r="H23" s="9">
        <v>92.6</v>
      </c>
    </row>
    <row r="24" spans="1:8" x14ac:dyDescent="0.3">
      <c r="A24" t="s">
        <v>98</v>
      </c>
      <c r="B24" t="s">
        <v>58</v>
      </c>
      <c r="C24">
        <v>1</v>
      </c>
      <c r="F24" t="s">
        <v>99</v>
      </c>
      <c r="G24" t="s">
        <v>88</v>
      </c>
      <c r="H24">
        <v>4.8099999999999996</v>
      </c>
    </row>
    <row r="25" spans="1:8" x14ac:dyDescent="0.3">
      <c r="A25" t="s">
        <v>100</v>
      </c>
      <c r="B25" t="s">
        <v>78</v>
      </c>
      <c r="C25">
        <v>3.5000000000000001E-3</v>
      </c>
      <c r="F25" t="s">
        <v>101</v>
      </c>
      <c r="G25" t="s">
        <v>88</v>
      </c>
      <c r="H25">
        <v>0.6</v>
      </c>
    </row>
    <row r="26" spans="1:8" ht="28.8" x14ac:dyDescent="0.3">
      <c r="A26" s="9" t="s">
        <v>102</v>
      </c>
      <c r="B26" t="s">
        <v>58</v>
      </c>
      <c r="C26">
        <v>1.0999999999999999E-2</v>
      </c>
      <c r="F26" t="s">
        <v>103</v>
      </c>
      <c r="G26" t="s">
        <v>88</v>
      </c>
      <c r="H26">
        <v>0.38</v>
      </c>
    </row>
    <row r="27" spans="1:8" x14ac:dyDescent="0.3">
      <c r="A27" t="s">
        <v>104</v>
      </c>
      <c r="B27" t="s">
        <v>58</v>
      </c>
      <c r="C27">
        <v>4.4999999999999997E-3</v>
      </c>
      <c r="F27" t="s">
        <v>105</v>
      </c>
      <c r="G27" t="s">
        <v>88</v>
      </c>
      <c r="H27">
        <v>15.7</v>
      </c>
    </row>
    <row r="28" spans="1:8" x14ac:dyDescent="0.3">
      <c r="A28" t="s">
        <v>106</v>
      </c>
      <c r="B28" t="s">
        <v>67</v>
      </c>
      <c r="C28">
        <v>3.1E-4</v>
      </c>
      <c r="F28" t="s">
        <v>107</v>
      </c>
      <c r="G28" t="s">
        <v>88</v>
      </c>
      <c r="H28">
        <v>1.57</v>
      </c>
    </row>
    <row r="29" spans="1:8" x14ac:dyDescent="0.3">
      <c r="A29" s="2" t="s">
        <v>93</v>
      </c>
      <c r="B29" s="2"/>
      <c r="C29" s="2"/>
      <c r="F29" s="2" t="s">
        <v>108</v>
      </c>
      <c r="G29" s="2"/>
      <c r="H29" s="2"/>
    </row>
    <row r="30" spans="1:8" x14ac:dyDescent="0.3">
      <c r="A30" t="s">
        <v>95</v>
      </c>
      <c r="B30" t="s">
        <v>58</v>
      </c>
      <c r="C30">
        <v>0.15</v>
      </c>
      <c r="F30" t="s">
        <v>109</v>
      </c>
      <c r="H30">
        <v>5.31</v>
      </c>
    </row>
    <row r="31" spans="1:8" x14ac:dyDescent="0.3">
      <c r="A31" t="s">
        <v>110</v>
      </c>
      <c r="B31" t="s">
        <v>58</v>
      </c>
      <c r="C31" s="71">
        <v>3.5999999999999998E-8</v>
      </c>
      <c r="F31" t="s">
        <v>111</v>
      </c>
      <c r="H31">
        <v>0.12</v>
      </c>
    </row>
    <row r="32" spans="1:8" x14ac:dyDescent="0.3">
      <c r="A32" t="s">
        <v>112</v>
      </c>
      <c r="B32" t="s">
        <v>58</v>
      </c>
      <c r="C32">
        <v>0.06</v>
      </c>
    </row>
    <row r="33" spans="1:6" x14ac:dyDescent="0.3">
      <c r="A33" t="s">
        <v>99</v>
      </c>
      <c r="B33" t="s">
        <v>58</v>
      </c>
      <c r="C33">
        <v>2.3E-2</v>
      </c>
      <c r="F33" t="s">
        <v>113</v>
      </c>
    </row>
    <row r="34" spans="1:6" x14ac:dyDescent="0.3">
      <c r="A34" t="s">
        <v>101</v>
      </c>
      <c r="B34" t="s">
        <v>58</v>
      </c>
      <c r="C34">
        <v>8.6E-3</v>
      </c>
    </row>
    <row r="35" spans="1:6" x14ac:dyDescent="0.3">
      <c r="A35" t="s">
        <v>103</v>
      </c>
      <c r="B35" t="s">
        <v>58</v>
      </c>
      <c r="C35" s="71">
        <v>6.8999999999999997E-4</v>
      </c>
      <c r="F35" s="15" t="s">
        <v>114</v>
      </c>
    </row>
    <row r="36" spans="1:6" x14ac:dyDescent="0.3">
      <c r="A36" t="s">
        <v>105</v>
      </c>
      <c r="B36" t="s">
        <v>58</v>
      </c>
      <c r="C36">
        <v>1.6E-2</v>
      </c>
    </row>
    <row r="37" spans="1:6" x14ac:dyDescent="0.3">
      <c r="A37" t="s">
        <v>115</v>
      </c>
      <c r="B37" t="s">
        <v>58</v>
      </c>
      <c r="C37">
        <v>2.3E-3</v>
      </c>
    </row>
    <row r="38" spans="1:6" x14ac:dyDescent="0.3">
      <c r="A38" t="s">
        <v>116</v>
      </c>
      <c r="B38" t="s">
        <v>58</v>
      </c>
      <c r="C38" s="71">
        <v>2E-8</v>
      </c>
    </row>
    <row r="39" spans="1:6" x14ac:dyDescent="0.3">
      <c r="A39" t="s">
        <v>117</v>
      </c>
      <c r="B39" t="s">
        <v>58</v>
      </c>
      <c r="C39" s="71">
        <v>1.0999999999999999E-9</v>
      </c>
    </row>
    <row r="40" spans="1:6" x14ac:dyDescent="0.3">
      <c r="A40" t="s">
        <v>108</v>
      </c>
    </row>
    <row r="41" spans="1:6" x14ac:dyDescent="0.3">
      <c r="A41" t="s">
        <v>116</v>
      </c>
      <c r="B41" t="s">
        <v>58</v>
      </c>
      <c r="C41" s="71">
        <v>1.9000000000000001E-9</v>
      </c>
    </row>
    <row r="42" spans="1:6" x14ac:dyDescent="0.3">
      <c r="A42" t="s">
        <v>115</v>
      </c>
      <c r="B42" t="s">
        <v>58</v>
      </c>
      <c r="C42" s="71">
        <v>6.3E-10</v>
      </c>
    </row>
    <row r="43" spans="1:6" x14ac:dyDescent="0.3">
      <c r="A43" t="s">
        <v>117</v>
      </c>
      <c r="B43" t="s">
        <v>58</v>
      </c>
      <c r="C43" s="71">
        <v>1.5999999999999999E-5</v>
      </c>
    </row>
    <row r="44" spans="1:6" x14ac:dyDescent="0.3">
      <c r="A44" s="15" t="s">
        <v>118</v>
      </c>
    </row>
  </sheetData>
  <hyperlinks>
    <hyperlink ref="A44" r:id="rId1" xr:uid="{B7552C36-5D76-4244-A84C-9AF86BA5F73E}"/>
    <hyperlink ref="F35" r:id="rId2" xr:uid="{D5A0D2DF-F721-46A4-B457-5229EDE961B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B42708-492F-4057-B602-E24B9C3732B4}">
  <dimension ref="A1:R54"/>
  <sheetViews>
    <sheetView workbookViewId="0">
      <selection activeCell="O6" sqref="O6"/>
    </sheetView>
  </sheetViews>
  <sheetFormatPr defaultRowHeight="14.4" x14ac:dyDescent="0.3"/>
  <cols>
    <col min="1" max="1" width="37.6640625" customWidth="1"/>
    <col min="3" max="4" width="10.44140625" customWidth="1"/>
    <col min="6" max="6" width="22" customWidth="1"/>
    <col min="8" max="8" width="13" customWidth="1"/>
    <col min="9" max="9" width="15.44140625" customWidth="1"/>
    <col min="15" max="15" width="20" customWidth="1"/>
    <col min="16" max="16" width="20.44140625" customWidth="1"/>
    <col min="17" max="17" width="21" customWidth="1"/>
    <col min="19" max="19" width="9.33203125" bestFit="1" customWidth="1"/>
  </cols>
  <sheetData>
    <row r="1" spans="1:18" x14ac:dyDescent="0.3">
      <c r="A1" s="512" t="s">
        <v>119</v>
      </c>
      <c r="F1" s="512" t="s">
        <v>120</v>
      </c>
    </row>
    <row r="2" spans="1:18" x14ac:dyDescent="0.3">
      <c r="A2" t="s">
        <v>121</v>
      </c>
      <c r="F2" t="s">
        <v>122</v>
      </c>
      <c r="P2" s="569"/>
    </row>
    <row r="3" spans="1:18" x14ac:dyDescent="0.3">
      <c r="A3" t="s">
        <v>123</v>
      </c>
      <c r="F3" t="s">
        <v>124</v>
      </c>
    </row>
    <row r="4" spans="1:18" x14ac:dyDescent="0.3">
      <c r="O4" t="s">
        <v>125</v>
      </c>
    </row>
    <row r="5" spans="1:18" x14ac:dyDescent="0.3">
      <c r="A5" s="2" t="s">
        <v>54</v>
      </c>
      <c r="B5" s="2" t="s">
        <v>55</v>
      </c>
      <c r="C5" s="2"/>
      <c r="D5" s="2"/>
      <c r="F5" s="2" t="s">
        <v>126</v>
      </c>
      <c r="G5" s="2" t="s">
        <v>55</v>
      </c>
      <c r="H5" s="2" t="s">
        <v>127</v>
      </c>
      <c r="I5" s="2" t="s">
        <v>128</v>
      </c>
      <c r="J5" s="2" t="s">
        <v>129</v>
      </c>
      <c r="K5" s="2" t="s">
        <v>130</v>
      </c>
      <c r="L5" s="2" t="s">
        <v>131</v>
      </c>
      <c r="M5" s="2" t="s">
        <v>132</v>
      </c>
      <c r="O5" s="2" t="s">
        <v>126</v>
      </c>
      <c r="P5" s="2" t="s">
        <v>119</v>
      </c>
      <c r="Q5" s="609" t="s">
        <v>120</v>
      </c>
      <c r="R5" t="s">
        <v>55</v>
      </c>
    </row>
    <row r="6" spans="1:18" x14ac:dyDescent="0.3">
      <c r="A6" t="s">
        <v>133</v>
      </c>
      <c r="B6" t="s">
        <v>134</v>
      </c>
      <c r="C6">
        <v>55000</v>
      </c>
      <c r="F6" t="s">
        <v>135</v>
      </c>
      <c r="G6" t="s">
        <v>58</v>
      </c>
      <c r="H6">
        <v>56</v>
      </c>
      <c r="I6">
        <v>54.7</v>
      </c>
      <c r="J6">
        <v>56.4</v>
      </c>
      <c r="K6">
        <v>55.7</v>
      </c>
      <c r="L6">
        <v>56.9</v>
      </c>
      <c r="M6">
        <f t="shared" ref="M6:M11" si="0">AVERAGE(H6:L6)</f>
        <v>55.94</v>
      </c>
      <c r="O6" t="s">
        <v>136</v>
      </c>
      <c r="Q6" s="534"/>
    </row>
    <row r="7" spans="1:18" x14ac:dyDescent="0.3">
      <c r="A7" t="s">
        <v>137</v>
      </c>
      <c r="B7" t="s">
        <v>67</v>
      </c>
      <c r="C7">
        <v>3471</v>
      </c>
      <c r="F7" t="s">
        <v>138</v>
      </c>
      <c r="G7" t="s">
        <v>58</v>
      </c>
      <c r="H7">
        <v>1.4</v>
      </c>
      <c r="I7">
        <v>1.4</v>
      </c>
      <c r="J7">
        <v>1.5</v>
      </c>
      <c r="K7">
        <v>1.7</v>
      </c>
      <c r="L7">
        <v>1.5</v>
      </c>
      <c r="M7">
        <f t="shared" si="0"/>
        <v>1.5</v>
      </c>
      <c r="Q7" s="534"/>
    </row>
    <row r="8" spans="1:18" x14ac:dyDescent="0.3">
      <c r="A8" t="s">
        <v>139</v>
      </c>
      <c r="B8" t="s">
        <v>76</v>
      </c>
      <c r="C8">
        <v>49369</v>
      </c>
      <c r="F8" t="s">
        <v>140</v>
      </c>
      <c r="G8" t="s">
        <v>141</v>
      </c>
      <c r="H8">
        <v>11.2</v>
      </c>
      <c r="I8">
        <v>7.7</v>
      </c>
      <c r="J8">
        <v>13</v>
      </c>
      <c r="K8">
        <v>5</v>
      </c>
      <c r="L8">
        <v>5</v>
      </c>
      <c r="M8">
        <f t="shared" si="0"/>
        <v>8.379999999999999</v>
      </c>
    </row>
    <row r="9" spans="1:18" x14ac:dyDescent="0.3">
      <c r="A9" t="s">
        <v>142</v>
      </c>
      <c r="B9" t="s">
        <v>143</v>
      </c>
      <c r="C9">
        <v>1.7000000000000001E-2</v>
      </c>
      <c r="F9" t="s">
        <v>71</v>
      </c>
      <c r="G9" t="s">
        <v>144</v>
      </c>
      <c r="H9">
        <v>2</v>
      </c>
      <c r="I9">
        <v>2.2000000000000002</v>
      </c>
      <c r="J9">
        <v>2.1</v>
      </c>
      <c r="K9">
        <v>2.2000000000000002</v>
      </c>
      <c r="L9">
        <v>2</v>
      </c>
      <c r="M9">
        <f t="shared" si="0"/>
        <v>2.1</v>
      </c>
    </row>
    <row r="10" spans="1:18" x14ac:dyDescent="0.3">
      <c r="A10" t="s">
        <v>145</v>
      </c>
      <c r="F10" t="s">
        <v>146</v>
      </c>
      <c r="G10" t="s">
        <v>141</v>
      </c>
      <c r="H10">
        <v>110.4</v>
      </c>
      <c r="I10">
        <v>100.2</v>
      </c>
      <c r="J10">
        <v>138.69999999999999</v>
      </c>
      <c r="K10">
        <v>118.1</v>
      </c>
      <c r="L10">
        <v>46.4</v>
      </c>
      <c r="M10">
        <f t="shared" si="0"/>
        <v>102.75999999999999</v>
      </c>
    </row>
    <row r="11" spans="1:18" x14ac:dyDescent="0.3">
      <c r="A11" t="s">
        <v>147</v>
      </c>
      <c r="B11" t="s">
        <v>143</v>
      </c>
      <c r="C11">
        <v>1200</v>
      </c>
      <c r="F11" t="s">
        <v>69</v>
      </c>
      <c r="G11" t="s">
        <v>67</v>
      </c>
      <c r="H11">
        <v>3.1</v>
      </c>
      <c r="I11">
        <v>2.6</v>
      </c>
      <c r="J11">
        <v>4.0999999999999996</v>
      </c>
      <c r="K11">
        <v>2.8</v>
      </c>
      <c r="L11">
        <v>3.4</v>
      </c>
      <c r="M11">
        <f t="shared" si="0"/>
        <v>3.2</v>
      </c>
    </row>
    <row r="12" spans="1:18" x14ac:dyDescent="0.3">
      <c r="A12" t="s">
        <v>148</v>
      </c>
      <c r="B12" t="s">
        <v>143</v>
      </c>
      <c r="C12">
        <v>744</v>
      </c>
      <c r="F12" t="s">
        <v>73</v>
      </c>
    </row>
    <row r="13" spans="1:18" x14ac:dyDescent="0.3">
      <c r="A13" t="s">
        <v>149</v>
      </c>
      <c r="B13" t="s">
        <v>143</v>
      </c>
      <c r="C13">
        <v>264</v>
      </c>
      <c r="F13" t="s">
        <v>150</v>
      </c>
      <c r="G13" t="s">
        <v>76</v>
      </c>
      <c r="H13">
        <v>216.6</v>
      </c>
      <c r="I13">
        <v>216.6</v>
      </c>
      <c r="J13">
        <v>360.2</v>
      </c>
      <c r="K13">
        <v>525.70000000000005</v>
      </c>
      <c r="L13">
        <v>525.70000000000005</v>
      </c>
      <c r="M13">
        <f t="shared" ref="M13:M18" si="1">AVERAGE(H13:L13)</f>
        <v>368.96</v>
      </c>
    </row>
    <row r="14" spans="1:18" x14ac:dyDescent="0.3">
      <c r="A14" t="s">
        <v>151</v>
      </c>
      <c r="B14" t="s">
        <v>143</v>
      </c>
      <c r="C14">
        <v>192</v>
      </c>
      <c r="F14" t="s">
        <v>152</v>
      </c>
      <c r="G14" t="s">
        <v>153</v>
      </c>
      <c r="H14">
        <v>0.6</v>
      </c>
      <c r="I14">
        <v>0.6</v>
      </c>
      <c r="J14">
        <v>0.8</v>
      </c>
      <c r="K14">
        <v>0.4</v>
      </c>
      <c r="L14">
        <v>0.4</v>
      </c>
      <c r="M14">
        <f t="shared" si="1"/>
        <v>0.55999999999999994</v>
      </c>
      <c r="P14" s="569"/>
    </row>
    <row r="15" spans="1:18" x14ac:dyDescent="0.3">
      <c r="A15" t="s">
        <v>154</v>
      </c>
      <c r="F15" t="s">
        <v>155</v>
      </c>
      <c r="G15" t="s">
        <v>153</v>
      </c>
      <c r="H15">
        <v>0.6</v>
      </c>
      <c r="I15">
        <v>0.6</v>
      </c>
      <c r="J15">
        <v>0.5</v>
      </c>
      <c r="K15">
        <v>0.3</v>
      </c>
      <c r="L15">
        <v>0.3</v>
      </c>
      <c r="M15">
        <f t="shared" si="1"/>
        <v>0.45999999999999996</v>
      </c>
    </row>
    <row r="16" spans="1:18" x14ac:dyDescent="0.3">
      <c r="A16" t="s">
        <v>156</v>
      </c>
      <c r="B16" t="s">
        <v>143</v>
      </c>
      <c r="C16">
        <v>56.7</v>
      </c>
      <c r="F16" t="s">
        <v>157</v>
      </c>
      <c r="G16" t="s">
        <v>158</v>
      </c>
      <c r="H16">
        <v>0</v>
      </c>
      <c r="I16">
        <v>0</v>
      </c>
      <c r="J16" t="s">
        <v>159</v>
      </c>
      <c r="K16" t="s">
        <v>159</v>
      </c>
      <c r="L16" t="s">
        <v>159</v>
      </c>
      <c r="M16">
        <f t="shared" si="1"/>
        <v>0</v>
      </c>
    </row>
    <row r="17" spans="1:16" x14ac:dyDescent="0.3">
      <c r="A17" t="s">
        <v>160</v>
      </c>
      <c r="B17" t="s">
        <v>143</v>
      </c>
      <c r="C17">
        <v>30.57</v>
      </c>
      <c r="F17" t="s">
        <v>161</v>
      </c>
      <c r="G17" t="s">
        <v>158</v>
      </c>
      <c r="H17">
        <v>1.2</v>
      </c>
      <c r="I17">
        <v>1.2</v>
      </c>
      <c r="J17">
        <v>5.9</v>
      </c>
      <c r="K17">
        <v>1.9</v>
      </c>
      <c r="L17">
        <v>1.9</v>
      </c>
      <c r="M17">
        <f t="shared" si="1"/>
        <v>2.4200000000000004</v>
      </c>
    </row>
    <row r="18" spans="1:16" x14ac:dyDescent="0.3">
      <c r="A18" t="s">
        <v>162</v>
      </c>
      <c r="F18" t="s">
        <v>163</v>
      </c>
      <c r="G18" t="s">
        <v>67</v>
      </c>
      <c r="H18">
        <v>5.7</v>
      </c>
      <c r="I18">
        <v>5.7</v>
      </c>
      <c r="J18">
        <v>2.8</v>
      </c>
      <c r="K18">
        <v>0.1</v>
      </c>
      <c r="L18">
        <v>0.1</v>
      </c>
      <c r="M18">
        <f t="shared" si="1"/>
        <v>2.88</v>
      </c>
    </row>
    <row r="19" spans="1:16" x14ac:dyDescent="0.3">
      <c r="A19" t="s">
        <v>164</v>
      </c>
      <c r="B19" s="19" t="s">
        <v>165</v>
      </c>
      <c r="C19">
        <v>543486.42000000004</v>
      </c>
      <c r="F19" s="2" t="s">
        <v>166</v>
      </c>
      <c r="G19" s="2"/>
      <c r="H19" s="2"/>
      <c r="I19" s="2"/>
      <c r="J19" s="2"/>
      <c r="K19" s="2"/>
      <c r="L19" s="2"/>
      <c r="M19" s="2"/>
    </row>
    <row r="20" spans="1:16" x14ac:dyDescent="0.3">
      <c r="A20" t="s">
        <v>167</v>
      </c>
      <c r="B20" t="s">
        <v>143</v>
      </c>
      <c r="C20">
        <v>3</v>
      </c>
      <c r="F20" t="s">
        <v>16</v>
      </c>
      <c r="G20" t="s">
        <v>144</v>
      </c>
      <c r="H20">
        <v>1</v>
      </c>
      <c r="I20">
        <v>1</v>
      </c>
      <c r="J20">
        <v>1</v>
      </c>
      <c r="K20">
        <v>1</v>
      </c>
      <c r="L20">
        <v>1</v>
      </c>
      <c r="P20" s="569"/>
    </row>
    <row r="21" spans="1:16" x14ac:dyDescent="0.3">
      <c r="A21" s="2" t="s">
        <v>83</v>
      </c>
      <c r="B21" s="2"/>
      <c r="C21" s="2"/>
      <c r="D21" s="2"/>
      <c r="F21" t="s">
        <v>168</v>
      </c>
      <c r="G21" t="s">
        <v>88</v>
      </c>
      <c r="H21">
        <v>59.3</v>
      </c>
      <c r="I21">
        <v>59.9</v>
      </c>
      <c r="J21">
        <v>59.8</v>
      </c>
      <c r="K21">
        <v>60.3</v>
      </c>
      <c r="L21">
        <v>60.4</v>
      </c>
      <c r="M21">
        <f>AVERAGE(H21:L21)</f>
        <v>59.94</v>
      </c>
      <c r="O21" s="534"/>
    </row>
    <row r="22" spans="1:16" x14ac:dyDescent="0.3">
      <c r="A22" t="s">
        <v>169</v>
      </c>
      <c r="B22" t="s">
        <v>134</v>
      </c>
      <c r="C22" s="57">
        <v>13344000</v>
      </c>
      <c r="D22" s="57"/>
      <c r="F22" t="s">
        <v>170</v>
      </c>
      <c r="G22" t="s">
        <v>58</v>
      </c>
      <c r="H22">
        <v>93.7</v>
      </c>
      <c r="I22">
        <v>90</v>
      </c>
      <c r="J22">
        <v>100.6</v>
      </c>
      <c r="K22">
        <v>99.8</v>
      </c>
      <c r="L22">
        <v>97.7</v>
      </c>
    </row>
    <row r="23" spans="1:16" x14ac:dyDescent="0.3">
      <c r="A23" t="s">
        <v>171</v>
      </c>
      <c r="B23" t="s">
        <v>143</v>
      </c>
      <c r="C23">
        <v>111.3</v>
      </c>
      <c r="F23" t="s">
        <v>140</v>
      </c>
      <c r="G23" t="s">
        <v>141</v>
      </c>
      <c r="H23">
        <v>13.7</v>
      </c>
      <c r="I23">
        <v>22.4</v>
      </c>
      <c r="J23">
        <v>31.2</v>
      </c>
      <c r="K23">
        <v>7</v>
      </c>
      <c r="L23">
        <v>17.2</v>
      </c>
    </row>
    <row r="24" spans="1:16" x14ac:dyDescent="0.3">
      <c r="A24" t="s">
        <v>172</v>
      </c>
      <c r="F24" t="s">
        <v>98</v>
      </c>
      <c r="G24" t="s">
        <v>144</v>
      </c>
      <c r="H24">
        <v>1.1000000000000001</v>
      </c>
      <c r="I24">
        <v>1.1000000000000001</v>
      </c>
      <c r="J24">
        <v>1.1000000000000001</v>
      </c>
      <c r="K24">
        <v>1.1000000000000001</v>
      </c>
      <c r="L24">
        <v>1.1000000000000001</v>
      </c>
    </row>
    <row r="25" spans="1:16" x14ac:dyDescent="0.3">
      <c r="A25" t="s">
        <v>173</v>
      </c>
      <c r="B25" t="s">
        <v>67</v>
      </c>
      <c r="C25">
        <v>347.1</v>
      </c>
      <c r="F25" t="s">
        <v>174</v>
      </c>
      <c r="G25" t="s">
        <v>141</v>
      </c>
      <c r="H25">
        <v>18</v>
      </c>
      <c r="I25">
        <v>0</v>
      </c>
      <c r="J25">
        <v>3.6</v>
      </c>
      <c r="K25">
        <v>9.1</v>
      </c>
      <c r="L25">
        <v>5.6</v>
      </c>
    </row>
    <row r="26" spans="1:16" x14ac:dyDescent="0.3">
      <c r="A26" t="s">
        <v>175</v>
      </c>
      <c r="B26" t="s">
        <v>143</v>
      </c>
      <c r="C26">
        <v>69.599999999999994</v>
      </c>
      <c r="F26" t="s">
        <v>176</v>
      </c>
      <c r="G26" t="s">
        <v>141</v>
      </c>
      <c r="H26">
        <v>3.3</v>
      </c>
      <c r="I26">
        <v>1.2</v>
      </c>
      <c r="J26">
        <v>0.4</v>
      </c>
      <c r="K26">
        <v>0</v>
      </c>
      <c r="L26">
        <v>0.5</v>
      </c>
    </row>
    <row r="27" spans="1:16" x14ac:dyDescent="0.3">
      <c r="A27" t="s">
        <v>177</v>
      </c>
      <c r="B27" t="s">
        <v>143</v>
      </c>
      <c r="C27">
        <v>1980</v>
      </c>
      <c r="F27" t="s">
        <v>178</v>
      </c>
      <c r="G27" t="s">
        <v>179</v>
      </c>
      <c r="H27">
        <v>0.7</v>
      </c>
      <c r="I27">
        <v>2.9</v>
      </c>
      <c r="J27">
        <v>1.7</v>
      </c>
      <c r="K27">
        <v>36.299999999999997</v>
      </c>
      <c r="L27">
        <v>1.5</v>
      </c>
    </row>
    <row r="28" spans="1:16" x14ac:dyDescent="0.3">
      <c r="A28" t="s">
        <v>180</v>
      </c>
      <c r="B28" t="s">
        <v>143</v>
      </c>
      <c r="C28">
        <v>10.4</v>
      </c>
      <c r="F28" t="s">
        <v>181</v>
      </c>
      <c r="G28" t="s">
        <v>179</v>
      </c>
      <c r="H28">
        <v>24.7</v>
      </c>
      <c r="I28">
        <v>33.4</v>
      </c>
      <c r="J28">
        <v>20.8</v>
      </c>
      <c r="K28">
        <v>24.6</v>
      </c>
      <c r="L28">
        <v>28.2</v>
      </c>
    </row>
    <row r="29" spans="1:16" ht="28.8" x14ac:dyDescent="0.3">
      <c r="A29" s="9" t="s">
        <v>182</v>
      </c>
      <c r="B29" t="s">
        <v>143</v>
      </c>
      <c r="C29">
        <v>4.7699999999999996</v>
      </c>
      <c r="F29" t="s">
        <v>183</v>
      </c>
      <c r="G29" t="s">
        <v>58</v>
      </c>
      <c r="H29">
        <v>30.7</v>
      </c>
      <c r="I29">
        <v>34.5</v>
      </c>
      <c r="J29">
        <v>33.6</v>
      </c>
      <c r="K29">
        <v>34.799999999999997</v>
      </c>
      <c r="L29">
        <v>32.4</v>
      </c>
    </row>
    <row r="30" spans="1:16" x14ac:dyDescent="0.3">
      <c r="A30" t="s">
        <v>184</v>
      </c>
      <c r="F30" t="s">
        <v>185</v>
      </c>
      <c r="G30" t="s">
        <v>58</v>
      </c>
      <c r="H30">
        <v>6</v>
      </c>
      <c r="I30">
        <v>6.7</v>
      </c>
      <c r="J30">
        <v>6.5</v>
      </c>
      <c r="K30">
        <v>6.7</v>
      </c>
      <c r="L30">
        <v>4.4000000000000004</v>
      </c>
    </row>
    <row r="31" spans="1:16" x14ac:dyDescent="0.3">
      <c r="A31" t="s">
        <v>186</v>
      </c>
      <c r="B31" t="s">
        <v>143</v>
      </c>
      <c r="C31">
        <v>4.8</v>
      </c>
      <c r="F31" t="s">
        <v>187</v>
      </c>
      <c r="G31" t="s">
        <v>188</v>
      </c>
      <c r="H31">
        <v>3.2</v>
      </c>
      <c r="I31">
        <v>1.7</v>
      </c>
      <c r="J31">
        <v>5.0999999999999996</v>
      </c>
      <c r="K31">
        <v>7.1</v>
      </c>
      <c r="L31">
        <v>7.8</v>
      </c>
    </row>
    <row r="32" spans="1:16" x14ac:dyDescent="0.3">
      <c r="A32" t="s">
        <v>189</v>
      </c>
      <c r="B32" t="s">
        <v>143</v>
      </c>
      <c r="C32">
        <v>0.42</v>
      </c>
      <c r="F32" t="s">
        <v>190</v>
      </c>
      <c r="G32" t="s">
        <v>58</v>
      </c>
      <c r="H32">
        <v>2.6</v>
      </c>
      <c r="I32">
        <v>1.5</v>
      </c>
      <c r="J32">
        <v>4.5999999999999996</v>
      </c>
      <c r="K32">
        <v>7.6</v>
      </c>
      <c r="L32">
        <v>6.9</v>
      </c>
    </row>
    <row r="33" spans="1:12" x14ac:dyDescent="0.3">
      <c r="A33" t="s">
        <v>191</v>
      </c>
      <c r="B33" t="s">
        <v>143</v>
      </c>
      <c r="C33">
        <v>1.88</v>
      </c>
      <c r="F33" t="s">
        <v>192</v>
      </c>
      <c r="G33" t="s">
        <v>141</v>
      </c>
      <c r="H33">
        <v>0.08</v>
      </c>
      <c r="I33">
        <v>4.0000000000000001E-3</v>
      </c>
      <c r="J33">
        <v>0.09</v>
      </c>
      <c r="L33">
        <v>0.15</v>
      </c>
    </row>
    <row r="34" spans="1:12" x14ac:dyDescent="0.3">
      <c r="F34" t="s">
        <v>193</v>
      </c>
      <c r="G34" t="s">
        <v>141</v>
      </c>
      <c r="H34">
        <v>1E-3</v>
      </c>
      <c r="I34">
        <v>4.0000000000000001E-3</v>
      </c>
      <c r="J34">
        <v>4.0000000000000002E-4</v>
      </c>
      <c r="K34">
        <v>4.0000000000000003E-5</v>
      </c>
      <c r="L34">
        <v>1E-4</v>
      </c>
    </row>
    <row r="36" spans="1:12" x14ac:dyDescent="0.3">
      <c r="A36" s="627" t="s">
        <v>194</v>
      </c>
      <c r="B36" s="627"/>
      <c r="C36" s="627"/>
      <c r="D36" s="627"/>
      <c r="E36" s="627"/>
      <c r="F36" s="627" t="s">
        <v>195</v>
      </c>
      <c r="G36" s="627"/>
      <c r="H36" s="627"/>
      <c r="I36" s="627"/>
      <c r="J36" s="627"/>
      <c r="K36" s="627"/>
      <c r="L36" s="627"/>
    </row>
    <row r="39" spans="1:12" x14ac:dyDescent="0.3">
      <c r="F39" t="s">
        <v>196</v>
      </c>
    </row>
    <row r="40" spans="1:12" x14ac:dyDescent="0.3">
      <c r="F40" t="s">
        <v>197</v>
      </c>
    </row>
    <row r="41" spans="1:12" x14ac:dyDescent="0.3">
      <c r="F41" t="s">
        <v>198</v>
      </c>
    </row>
    <row r="42" spans="1:12" x14ac:dyDescent="0.3">
      <c r="F42" t="s">
        <v>199</v>
      </c>
    </row>
    <row r="43" spans="1:12" x14ac:dyDescent="0.3">
      <c r="F43" t="s">
        <v>200</v>
      </c>
    </row>
    <row r="44" spans="1:12" x14ac:dyDescent="0.3">
      <c r="F44" t="s">
        <v>201</v>
      </c>
    </row>
    <row r="45" spans="1:12" x14ac:dyDescent="0.3">
      <c r="F45" t="s">
        <v>202</v>
      </c>
    </row>
    <row r="46" spans="1:12" x14ac:dyDescent="0.3">
      <c r="F46" t="s">
        <v>203</v>
      </c>
    </row>
    <row r="47" spans="1:12" x14ac:dyDescent="0.3">
      <c r="F47" t="s">
        <v>204</v>
      </c>
    </row>
    <row r="48" spans="1:12" x14ac:dyDescent="0.3">
      <c r="F48" t="s">
        <v>205</v>
      </c>
    </row>
    <row r="49" spans="6:6" x14ac:dyDescent="0.3">
      <c r="F49" t="s">
        <v>206</v>
      </c>
    </row>
    <row r="50" spans="6:6" x14ac:dyDescent="0.3">
      <c r="F50" t="s">
        <v>207</v>
      </c>
    </row>
    <row r="51" spans="6:6" x14ac:dyDescent="0.3">
      <c r="F51" t="s">
        <v>208</v>
      </c>
    </row>
    <row r="52" spans="6:6" x14ac:dyDescent="0.3">
      <c r="F52" t="s">
        <v>209</v>
      </c>
    </row>
    <row r="53" spans="6:6" x14ac:dyDescent="0.3">
      <c r="F53" t="s">
        <v>210</v>
      </c>
    </row>
    <row r="54" spans="6:6" x14ac:dyDescent="0.3">
      <c r="F54" t="s">
        <v>211</v>
      </c>
    </row>
  </sheetData>
  <mergeCells count="2">
    <mergeCell ref="A36:E36"/>
    <mergeCell ref="F36:L36"/>
  </mergeCells>
  <hyperlinks>
    <hyperlink ref="A36" r:id="rId1" xr:uid="{60EE0203-F07C-46F0-B67E-3AC62C477B1E}"/>
    <hyperlink ref="F36" r:id="rId2" xr:uid="{115E1737-5BB1-473B-BFB9-76270EBBA0B1}"/>
    <hyperlink ref="A1" r:id="rId3" xr:uid="{93517791-B02A-4577-8ADE-392C73E5F614}"/>
    <hyperlink ref="F1" r:id="rId4" xr:uid="{AF200739-4B4B-4708-8B97-D8579F352DA0}"/>
    <hyperlink ref="Q5" r:id="rId5" xr:uid="{5B793E0D-3C54-4C60-A883-07FF2FA594FD}"/>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648565-A19E-4274-8E6E-686C9E9A3BBC}">
  <dimension ref="A1:BG21"/>
  <sheetViews>
    <sheetView topLeftCell="M7" workbookViewId="0">
      <selection activeCell="AB22" sqref="AB22"/>
    </sheetView>
  </sheetViews>
  <sheetFormatPr defaultColWidth="11.5546875" defaultRowHeight="14.4" x14ac:dyDescent="0.3"/>
  <cols>
    <col min="1" max="1" width="11.6640625" style="9" customWidth="1"/>
    <col min="2" max="2" width="14.109375" style="9" customWidth="1"/>
    <col min="3" max="3" width="9" style="9" customWidth="1"/>
    <col min="4" max="4" width="8.44140625" style="9" customWidth="1"/>
    <col min="5" max="5" width="8.5546875" style="9" customWidth="1"/>
    <col min="6" max="6" width="8.6640625" style="9" customWidth="1"/>
    <col min="7" max="7" width="13.33203125" style="9" customWidth="1"/>
    <col min="8" max="8" width="11.33203125" style="9" customWidth="1"/>
    <col min="9" max="9" width="9.88671875" style="9" customWidth="1"/>
    <col min="10" max="10" width="11.5546875" style="9"/>
    <col min="11" max="11" width="15" style="9" customWidth="1"/>
    <col min="12" max="22" width="11.5546875" style="9"/>
    <col min="23" max="23" width="5.109375" style="9" customWidth="1"/>
    <col min="24" max="29" width="11.5546875" style="9"/>
    <col min="30" max="30" width="37.109375" style="9" customWidth="1"/>
    <col min="31" max="31" width="12.109375" style="9" customWidth="1"/>
    <col min="32" max="16384" width="11.5546875" style="9"/>
  </cols>
  <sheetData>
    <row r="1" spans="1:59" s="603" customFormat="1" x14ac:dyDescent="0.3">
      <c r="A1" s="602" t="s">
        <v>212</v>
      </c>
      <c r="K1" s="512" t="s">
        <v>213</v>
      </c>
    </row>
    <row r="2" spans="1:59" x14ac:dyDescent="0.3">
      <c r="A2" t="s">
        <v>214</v>
      </c>
      <c r="K2" t="s">
        <v>214</v>
      </c>
      <c r="S2" s="102"/>
    </row>
    <row r="3" spans="1:59" x14ac:dyDescent="0.3">
      <c r="A3" t="s">
        <v>53</v>
      </c>
      <c r="K3" t="s">
        <v>53</v>
      </c>
    </row>
    <row r="4" spans="1:59" ht="28.8" x14ac:dyDescent="0.3">
      <c r="K4" s="9" t="s">
        <v>215</v>
      </c>
    </row>
    <row r="5" spans="1:59" ht="29.25" customHeight="1" x14ac:dyDescent="0.3">
      <c r="A5" s="652" t="s">
        <v>216</v>
      </c>
      <c r="B5" s="652"/>
      <c r="C5" s="654"/>
      <c r="D5" s="654"/>
      <c r="E5" s="654"/>
      <c r="F5" s="654"/>
      <c r="G5" s="654"/>
      <c r="H5" s="654"/>
      <c r="I5" s="654"/>
      <c r="K5" s="652" t="s">
        <v>216</v>
      </c>
      <c r="L5" s="652"/>
      <c r="M5" s="652"/>
      <c r="O5" s="630" t="s">
        <v>216</v>
      </c>
      <c r="P5" s="631"/>
      <c r="Q5" s="631"/>
      <c r="R5" s="631"/>
      <c r="S5" s="631"/>
      <c r="T5" s="631"/>
      <c r="U5" s="631"/>
      <c r="V5" s="631"/>
      <c r="W5" s="631"/>
      <c r="X5" s="631"/>
      <c r="Y5" s="631"/>
      <c r="Z5" s="631"/>
      <c r="AA5" s="631"/>
      <c r="AB5" s="632"/>
      <c r="AD5" s="7" t="s">
        <v>217</v>
      </c>
      <c r="AE5"/>
    </row>
    <row r="6" spans="1:59" s="10" customFormat="1" ht="15" customHeight="1" x14ac:dyDescent="0.3">
      <c r="A6" s="658" t="s">
        <v>54</v>
      </c>
      <c r="B6" s="655" t="s">
        <v>218</v>
      </c>
      <c r="C6" s="653" t="s">
        <v>219</v>
      </c>
      <c r="D6" s="653"/>
      <c r="E6" s="653"/>
      <c r="F6" s="653"/>
      <c r="G6" s="651" t="s">
        <v>220</v>
      </c>
      <c r="H6" s="659" t="s">
        <v>221</v>
      </c>
      <c r="I6" s="657" t="s">
        <v>55</v>
      </c>
      <c r="K6" s="653" t="s">
        <v>54</v>
      </c>
      <c r="L6" s="653" t="s">
        <v>219</v>
      </c>
      <c r="M6" s="653" t="s">
        <v>55</v>
      </c>
      <c r="O6" s="633" t="s">
        <v>54</v>
      </c>
      <c r="P6" s="639" t="s">
        <v>212</v>
      </c>
      <c r="Q6" s="640"/>
      <c r="R6" s="640"/>
      <c r="S6" s="640"/>
      <c r="T6" s="640"/>
      <c r="U6" s="641"/>
      <c r="V6" s="645" t="s">
        <v>213</v>
      </c>
      <c r="W6" s="647" t="s">
        <v>222</v>
      </c>
      <c r="X6" s="628" t="s">
        <v>223</v>
      </c>
      <c r="Y6" s="628" t="s">
        <v>224</v>
      </c>
      <c r="Z6" s="637" t="s">
        <v>225</v>
      </c>
      <c r="AA6" s="628" t="s">
        <v>226</v>
      </c>
      <c r="AB6" s="635" t="s">
        <v>55</v>
      </c>
      <c r="AC6" s="9"/>
      <c r="AD6" t="s">
        <v>227</v>
      </c>
      <c r="AE6">
        <f>L10/0.835</f>
        <v>4.7904191616766472E-4</v>
      </c>
      <c r="AF6" s="9" t="s">
        <v>70</v>
      </c>
      <c r="AG6" s="9"/>
      <c r="AH6" s="9"/>
      <c r="AI6" s="9"/>
      <c r="AJ6" s="9"/>
      <c r="AK6" s="9"/>
      <c r="AL6" s="9"/>
      <c r="AM6" s="9"/>
      <c r="AN6" s="9"/>
      <c r="AO6" s="9"/>
      <c r="AP6" s="9"/>
      <c r="AQ6" s="9"/>
      <c r="AR6" s="9"/>
      <c r="AS6" s="9"/>
      <c r="AT6" s="9"/>
      <c r="AU6" s="9"/>
      <c r="AV6" s="9"/>
      <c r="AW6" s="9"/>
      <c r="AX6" s="9"/>
      <c r="AY6" s="9"/>
      <c r="AZ6" s="9"/>
      <c r="BA6" s="9"/>
      <c r="BB6" s="9"/>
      <c r="BC6" s="9"/>
      <c r="BD6" s="9"/>
      <c r="BE6" s="9"/>
      <c r="BF6" s="9"/>
      <c r="BG6" s="9"/>
    </row>
    <row r="7" spans="1:59" ht="30" customHeight="1" x14ac:dyDescent="0.3">
      <c r="A7" s="656"/>
      <c r="B7" s="656"/>
      <c r="C7" s="252" t="s">
        <v>228</v>
      </c>
      <c r="D7" s="252" t="s">
        <v>229</v>
      </c>
      <c r="E7" s="252" t="s">
        <v>230</v>
      </c>
      <c r="F7" s="261" t="s">
        <v>231</v>
      </c>
      <c r="G7" s="657"/>
      <c r="H7" s="659"/>
      <c r="I7" s="657"/>
      <c r="K7" s="653"/>
      <c r="L7" s="653"/>
      <c r="M7" s="653"/>
      <c r="O7" s="634"/>
      <c r="P7" s="642"/>
      <c r="Q7" s="643"/>
      <c r="R7" s="643"/>
      <c r="S7" s="643"/>
      <c r="T7" s="643"/>
      <c r="U7" s="644"/>
      <c r="V7" s="646"/>
      <c r="W7" s="648"/>
      <c r="X7" s="629"/>
      <c r="Y7" s="629"/>
      <c r="Z7" s="638"/>
      <c r="AA7" s="629"/>
      <c r="AB7" s="636"/>
      <c r="AD7" t="s">
        <v>232</v>
      </c>
      <c r="AE7" s="317">
        <f>H16+H17</f>
        <v>6.8633333333333333</v>
      </c>
      <c r="AF7" s="9" t="s">
        <v>58</v>
      </c>
    </row>
    <row r="8" spans="1:59" x14ac:dyDescent="0.3">
      <c r="A8" s="12" t="s">
        <v>233</v>
      </c>
      <c r="B8" s="13">
        <v>4.5999999999999996</v>
      </c>
      <c r="C8" s="13">
        <v>4.9000000000000004</v>
      </c>
      <c r="D8" s="13">
        <v>6.76</v>
      </c>
      <c r="E8" s="13">
        <v>6.25</v>
      </c>
      <c r="F8" s="259">
        <v>6.9</v>
      </c>
      <c r="G8" s="252">
        <v>7.35</v>
      </c>
      <c r="H8" s="262">
        <f>AVERAGE(B8:G8)</f>
        <v>6.126666666666666</v>
      </c>
      <c r="I8" s="12" t="s">
        <v>58</v>
      </c>
      <c r="K8" s="314" t="s">
        <v>233</v>
      </c>
      <c r="L8" s="315">
        <v>6.617</v>
      </c>
      <c r="M8" s="314" t="s">
        <v>58</v>
      </c>
      <c r="O8" s="407" t="s">
        <v>233</v>
      </c>
      <c r="P8" s="415">
        <v>4.5999999999999996</v>
      </c>
      <c r="Q8" s="416">
        <v>4.9000000000000004</v>
      </c>
      <c r="R8" s="416">
        <v>6.76</v>
      </c>
      <c r="S8" s="416">
        <v>6.25</v>
      </c>
      <c r="T8" s="416">
        <v>6.9</v>
      </c>
      <c r="U8" s="417">
        <v>7.35</v>
      </c>
      <c r="V8" s="418">
        <v>6.617</v>
      </c>
      <c r="W8" s="413">
        <f>COUNT(P8:V8)</f>
        <v>7</v>
      </c>
      <c r="X8" s="416">
        <f>MIN(P8:V8)</f>
        <v>4.5999999999999996</v>
      </c>
      <c r="Y8" s="416">
        <f>MAX(P8:V8)</f>
        <v>7.35</v>
      </c>
      <c r="Z8" s="430">
        <f>AVERAGE(P8:V8)</f>
        <v>6.1967142857142852</v>
      </c>
      <c r="AA8" s="416">
        <f>STDEV(P8:V8)</f>
        <v>1.0450210068519732</v>
      </c>
      <c r="AB8" s="405" t="s">
        <v>58</v>
      </c>
      <c r="AD8" t="s">
        <v>234</v>
      </c>
      <c r="AE8"/>
    </row>
    <row r="9" spans="1:59" x14ac:dyDescent="0.3">
      <c r="A9" s="12" t="s">
        <v>75</v>
      </c>
      <c r="B9" s="13">
        <v>0.21</v>
      </c>
      <c r="C9" s="13">
        <v>0.16</v>
      </c>
      <c r="D9" s="13">
        <v>0.34</v>
      </c>
      <c r="E9" s="13">
        <v>0.25</v>
      </c>
      <c r="F9" s="259">
        <v>0.31</v>
      </c>
      <c r="G9" s="13">
        <v>0.13</v>
      </c>
      <c r="H9" s="262">
        <f>AVERAGE(B9:G9)</f>
        <v>0.23333333333333331</v>
      </c>
      <c r="I9" s="12" t="s">
        <v>76</v>
      </c>
      <c r="K9" s="11" t="s">
        <v>75</v>
      </c>
      <c r="L9" s="11">
        <v>0.29499999999999998</v>
      </c>
      <c r="M9" s="11" t="s">
        <v>76</v>
      </c>
      <c r="O9" s="408" t="s">
        <v>75</v>
      </c>
      <c r="P9" s="415">
        <v>0.21</v>
      </c>
      <c r="Q9" s="416">
        <v>0.16</v>
      </c>
      <c r="R9" s="416">
        <v>0.34</v>
      </c>
      <c r="S9" s="416">
        <v>0.25</v>
      </c>
      <c r="T9" s="416">
        <v>0.31</v>
      </c>
      <c r="U9" s="417">
        <v>0.13</v>
      </c>
      <c r="V9" s="418">
        <v>0.29499999999999998</v>
      </c>
      <c r="W9" s="413">
        <f>COUNT(P9:V9)</f>
        <v>7</v>
      </c>
      <c r="X9" s="416">
        <f>MIN(P9:V9)</f>
        <v>0.13</v>
      </c>
      <c r="Y9" s="416">
        <f>MAX(P9:V9)</f>
        <v>0.34</v>
      </c>
      <c r="Z9" s="430">
        <f>AVERAGE(P9:V9)</f>
        <v>0.24214285714285713</v>
      </c>
      <c r="AA9" s="416">
        <f>STDEV(P9:V9)</f>
        <v>7.8943922230548441E-2</v>
      </c>
      <c r="AB9" s="405" t="s">
        <v>76</v>
      </c>
    </row>
    <row r="10" spans="1:59" x14ac:dyDescent="0.3">
      <c r="A10" s="12" t="s">
        <v>235</v>
      </c>
      <c r="B10" s="13">
        <v>0.01</v>
      </c>
      <c r="C10" s="13" t="s">
        <v>159</v>
      </c>
      <c r="D10" s="13" t="s">
        <v>159</v>
      </c>
      <c r="E10" s="13" t="s">
        <v>159</v>
      </c>
      <c r="F10" s="259" t="s">
        <v>159</v>
      </c>
      <c r="G10" s="13">
        <v>0.02</v>
      </c>
      <c r="H10" s="262">
        <f>AVERAGE(B10:G10)</f>
        <v>1.4999999999999999E-2</v>
      </c>
      <c r="I10" s="12" t="s">
        <v>58</v>
      </c>
      <c r="K10" s="11" t="s">
        <v>81</v>
      </c>
      <c r="L10" s="11">
        <v>4.0000000000000002E-4</v>
      </c>
      <c r="M10" s="11" t="s">
        <v>58</v>
      </c>
      <c r="O10" s="408" t="s">
        <v>235</v>
      </c>
      <c r="P10" s="415">
        <v>0.01</v>
      </c>
      <c r="Q10" s="416" t="s">
        <v>159</v>
      </c>
      <c r="R10" s="416" t="s">
        <v>159</v>
      </c>
      <c r="S10" s="416" t="s">
        <v>159</v>
      </c>
      <c r="T10" s="416" t="s">
        <v>159</v>
      </c>
      <c r="U10" s="417">
        <v>0.02</v>
      </c>
      <c r="V10" s="418" t="s">
        <v>159</v>
      </c>
      <c r="W10" s="413">
        <f>COUNT(P10:V10)</f>
        <v>2</v>
      </c>
      <c r="X10" s="416">
        <f>MIN(P10:V10)</f>
        <v>0.01</v>
      </c>
      <c r="Y10" s="416">
        <f>MAX(P10:V10)</f>
        <v>0.02</v>
      </c>
      <c r="Z10" s="430">
        <f>AVERAGE(P10:V10)</f>
        <v>1.4999999999999999E-2</v>
      </c>
      <c r="AA10" s="416">
        <f>STDEV(P10:V10)</f>
        <v>7.0710678118654771E-3</v>
      </c>
      <c r="AB10" s="405" t="s">
        <v>58</v>
      </c>
    </row>
    <row r="11" spans="1:59" x14ac:dyDescent="0.3">
      <c r="A11" s="12" t="s">
        <v>81</v>
      </c>
      <c r="B11" s="13" t="s">
        <v>159</v>
      </c>
      <c r="C11" s="13" t="s">
        <v>159</v>
      </c>
      <c r="D11" s="13">
        <v>1E-3</v>
      </c>
      <c r="E11" s="13" t="s">
        <v>159</v>
      </c>
      <c r="F11" s="259" t="s">
        <v>159</v>
      </c>
      <c r="G11" s="13" t="s">
        <v>159</v>
      </c>
      <c r="H11" s="262">
        <f>AVERAGE(B11:G11)</f>
        <v>1E-3</v>
      </c>
      <c r="I11" s="12" t="s">
        <v>70</v>
      </c>
      <c r="K11" s="11" t="s">
        <v>236</v>
      </c>
      <c r="L11" s="11">
        <v>1.2629999999999999</v>
      </c>
      <c r="M11" s="11" t="s">
        <v>70</v>
      </c>
      <c r="O11" s="408" t="s">
        <v>81</v>
      </c>
      <c r="P11" s="415" t="s">
        <v>159</v>
      </c>
      <c r="Q11" s="416" t="s">
        <v>159</v>
      </c>
      <c r="R11" s="416">
        <v>1E-3</v>
      </c>
      <c r="S11" s="416" t="s">
        <v>159</v>
      </c>
      <c r="T11" s="416" t="s">
        <v>159</v>
      </c>
      <c r="U11" s="417" t="s">
        <v>159</v>
      </c>
      <c r="V11" s="429">
        <f>AE6</f>
        <v>4.7904191616766472E-4</v>
      </c>
      <c r="W11" s="413">
        <f>COUNT(P11:V11)</f>
        <v>2</v>
      </c>
      <c r="X11" s="428">
        <f>MIN(P11:V11)</f>
        <v>4.7904191616766472E-4</v>
      </c>
      <c r="Y11" s="428">
        <f>MAX(P11:V11)</f>
        <v>1E-3</v>
      </c>
      <c r="Z11" s="431">
        <f>AVERAGE(P11:V11)</f>
        <v>7.3952095808383234E-4</v>
      </c>
      <c r="AA11" s="428">
        <f>STDEV(P11:V11)</f>
        <v>3.6837299379179419E-4</v>
      </c>
      <c r="AB11" s="405" t="s">
        <v>70</v>
      </c>
    </row>
    <row r="12" spans="1:59" x14ac:dyDescent="0.3">
      <c r="A12" s="12" t="s">
        <v>69</v>
      </c>
      <c r="B12" s="13">
        <v>4.6100000000000003</v>
      </c>
      <c r="C12" s="13">
        <v>0.24</v>
      </c>
      <c r="D12" s="13">
        <v>1.35</v>
      </c>
      <c r="E12" s="13">
        <v>1.2</v>
      </c>
      <c r="F12" s="259">
        <v>1.24</v>
      </c>
      <c r="G12" s="13">
        <v>1.84</v>
      </c>
      <c r="H12" s="262">
        <f>AVERAGE(B12:G12)</f>
        <v>1.7466666666666668</v>
      </c>
      <c r="I12" s="12" t="s">
        <v>70</v>
      </c>
      <c r="K12" s="241" t="s">
        <v>83</v>
      </c>
      <c r="L12" s="241"/>
      <c r="M12" s="241"/>
      <c r="O12" s="408" t="s">
        <v>69</v>
      </c>
      <c r="P12" s="415">
        <v>4.6100000000000003</v>
      </c>
      <c r="Q12" s="416">
        <v>0.24</v>
      </c>
      <c r="R12" s="416">
        <v>1.35</v>
      </c>
      <c r="S12" s="416">
        <v>1.2</v>
      </c>
      <c r="T12" s="416">
        <v>1.24</v>
      </c>
      <c r="U12" s="417">
        <v>1.84</v>
      </c>
      <c r="V12" s="418">
        <v>1.2629999999999999</v>
      </c>
      <c r="W12" s="413">
        <f>COUNT(P12:V12)</f>
        <v>7</v>
      </c>
      <c r="X12" s="416">
        <f>MIN(P12:V12)</f>
        <v>0.24</v>
      </c>
      <c r="Y12" s="416">
        <f>MAX(P12:V12)</f>
        <v>4.6100000000000003</v>
      </c>
      <c r="Z12" s="430">
        <f>AVERAGE(P12:V12)</f>
        <v>1.6775714285714287</v>
      </c>
      <c r="AA12" s="416">
        <f>STDEV(P12:V12)</f>
        <v>1.3778514502832371</v>
      </c>
      <c r="AB12" s="405" t="s">
        <v>70</v>
      </c>
    </row>
    <row r="13" spans="1:59" x14ac:dyDescent="0.3">
      <c r="A13" s="250" t="s">
        <v>83</v>
      </c>
      <c r="B13" s="250"/>
      <c r="C13" s="250"/>
      <c r="D13" s="250"/>
      <c r="E13" s="250"/>
      <c r="F13" s="260"/>
      <c r="G13" s="250"/>
      <c r="H13" s="251"/>
      <c r="I13" s="250"/>
      <c r="K13" s="11" t="s">
        <v>25</v>
      </c>
      <c r="L13" s="11">
        <v>1</v>
      </c>
      <c r="M13" s="11" t="s">
        <v>70</v>
      </c>
      <c r="O13" s="409" t="s">
        <v>83</v>
      </c>
      <c r="P13" s="419"/>
      <c r="Q13" s="420"/>
      <c r="R13" s="420"/>
      <c r="S13" s="420"/>
      <c r="T13" s="420"/>
      <c r="U13" s="421"/>
      <c r="V13" s="422"/>
      <c r="W13" s="433"/>
      <c r="X13" s="420"/>
      <c r="Y13" s="420"/>
      <c r="Z13" s="420"/>
      <c r="AA13" s="420"/>
      <c r="AB13" s="412"/>
    </row>
    <row r="14" spans="1:59" x14ac:dyDescent="0.3">
      <c r="A14" s="12" t="s">
        <v>25</v>
      </c>
      <c r="B14" s="649">
        <v>1</v>
      </c>
      <c r="C14" s="650"/>
      <c r="D14" s="650"/>
      <c r="E14" s="650"/>
      <c r="F14" s="650"/>
      <c r="G14" s="650"/>
      <c r="H14" s="651"/>
      <c r="I14" s="12" t="s">
        <v>70</v>
      </c>
      <c r="K14" s="11" t="s">
        <v>237</v>
      </c>
      <c r="L14" s="11">
        <v>6.2</v>
      </c>
      <c r="M14" s="11" t="s">
        <v>58</v>
      </c>
      <c r="O14" s="408" t="s">
        <v>25</v>
      </c>
      <c r="P14" s="415">
        <v>1</v>
      </c>
      <c r="Q14" s="416">
        <v>1</v>
      </c>
      <c r="R14" s="416">
        <v>1</v>
      </c>
      <c r="S14" s="416">
        <v>1</v>
      </c>
      <c r="T14" s="416">
        <v>1</v>
      </c>
      <c r="U14" s="417">
        <v>1</v>
      </c>
      <c r="V14" s="418">
        <v>1</v>
      </c>
      <c r="W14" s="413">
        <f>COUNT(P14:V14)</f>
        <v>7</v>
      </c>
      <c r="X14" s="416">
        <f>MIN(P14:V14)</f>
        <v>1</v>
      </c>
      <c r="Y14" s="416">
        <f>MAX(P14:V14)</f>
        <v>1</v>
      </c>
      <c r="Z14" s="430">
        <f>AVERAGE(P14:V14)</f>
        <v>1</v>
      </c>
      <c r="AA14" s="416">
        <f>STDEV(P14:V14)</f>
        <v>0</v>
      </c>
      <c r="AB14" s="405" t="s">
        <v>70</v>
      </c>
    </row>
    <row r="15" spans="1:59" x14ac:dyDescent="0.3">
      <c r="A15" s="12" t="s">
        <v>238</v>
      </c>
      <c r="B15" s="13">
        <v>0.24</v>
      </c>
      <c r="C15" s="13">
        <v>0.16</v>
      </c>
      <c r="D15" s="13">
        <v>0.15</v>
      </c>
      <c r="E15" s="13" t="s">
        <v>159</v>
      </c>
      <c r="F15" s="259" t="s">
        <v>159</v>
      </c>
      <c r="G15" s="13" t="s">
        <v>159</v>
      </c>
      <c r="H15" s="262">
        <f>AVERAGE(B15:G15)</f>
        <v>0.18333333333333335</v>
      </c>
      <c r="I15" s="12" t="s">
        <v>58</v>
      </c>
      <c r="K15" s="11" t="s">
        <v>239</v>
      </c>
      <c r="L15" s="11">
        <v>0.54100000000000004</v>
      </c>
      <c r="M15" s="11" t="s">
        <v>58</v>
      </c>
      <c r="O15" s="408" t="s">
        <v>238</v>
      </c>
      <c r="P15" s="415">
        <v>0.24</v>
      </c>
      <c r="Q15" s="416">
        <v>0.16</v>
      </c>
      <c r="R15" s="416">
        <v>0.15</v>
      </c>
      <c r="S15" s="416" t="s">
        <v>159</v>
      </c>
      <c r="T15" s="416" t="s">
        <v>159</v>
      </c>
      <c r="U15" s="417" t="s">
        <v>159</v>
      </c>
      <c r="V15" s="418">
        <v>0.19</v>
      </c>
      <c r="W15" s="413">
        <f>COUNT(P15:V15)</f>
        <v>4</v>
      </c>
      <c r="X15" s="416">
        <f>MIN(P15:V15)</f>
        <v>0.15</v>
      </c>
      <c r="Y15" s="416">
        <f>MAX(P15:V15)</f>
        <v>0.24</v>
      </c>
      <c r="Z15" s="430">
        <f>AVERAGE(P15:V15)</f>
        <v>0.185</v>
      </c>
      <c r="AA15" s="416">
        <f>STDEV(P15:V15)</f>
        <v>4.0414518843273753E-2</v>
      </c>
      <c r="AB15" s="405" t="s">
        <v>58</v>
      </c>
    </row>
    <row r="16" spans="1:59" x14ac:dyDescent="0.3">
      <c r="A16" s="12" t="s">
        <v>240</v>
      </c>
      <c r="B16" s="13">
        <v>2.86</v>
      </c>
      <c r="C16" s="13">
        <v>3.6</v>
      </c>
      <c r="D16" s="13">
        <v>5.75</v>
      </c>
      <c r="E16" s="13">
        <v>3.38</v>
      </c>
      <c r="F16" s="259">
        <v>3.7</v>
      </c>
      <c r="G16" s="13">
        <v>3.65</v>
      </c>
      <c r="H16" s="262">
        <f>AVERAGE(B16:G16)</f>
        <v>3.8233333333333328</v>
      </c>
      <c r="I16" s="12" t="s">
        <v>58</v>
      </c>
      <c r="K16" s="11" t="s">
        <v>238</v>
      </c>
      <c r="L16" s="11">
        <v>0.19</v>
      </c>
      <c r="M16" s="11" t="s">
        <v>58</v>
      </c>
      <c r="O16" s="408" t="s">
        <v>239</v>
      </c>
      <c r="P16" s="415" t="s">
        <v>159</v>
      </c>
      <c r="Q16" s="416">
        <v>0.37</v>
      </c>
      <c r="R16" s="416">
        <v>0.72</v>
      </c>
      <c r="S16" s="416" t="s">
        <v>159</v>
      </c>
      <c r="T16" s="416" t="s">
        <v>159</v>
      </c>
      <c r="U16" s="417" t="s">
        <v>159</v>
      </c>
      <c r="V16" s="418">
        <v>0.54100000000000004</v>
      </c>
      <c r="W16" s="413">
        <f>COUNT(P16:V16)</f>
        <v>3</v>
      </c>
      <c r="X16" s="416">
        <f>MIN(P16:V16)</f>
        <v>0.37</v>
      </c>
      <c r="Y16" s="416">
        <f>MAX(P16:V16)</f>
        <v>0.72</v>
      </c>
      <c r="Z16" s="430">
        <f>AVERAGE(P16:V16)</f>
        <v>0.54366666666666663</v>
      </c>
      <c r="AA16" s="416">
        <f>STDEV(P16:V16)</f>
        <v>0.175015237431869</v>
      </c>
      <c r="AB16" s="405" t="s">
        <v>58</v>
      </c>
    </row>
    <row r="17" spans="1:28" ht="28.8" x14ac:dyDescent="0.3">
      <c r="A17" s="12" t="s">
        <v>241</v>
      </c>
      <c r="B17" s="13">
        <v>4.6100000000000003</v>
      </c>
      <c r="C17" s="13">
        <v>0.2</v>
      </c>
      <c r="D17" s="13" t="s">
        <v>159</v>
      </c>
      <c r="E17" s="13" t="s">
        <v>159</v>
      </c>
      <c r="F17" s="259" t="s">
        <v>159</v>
      </c>
      <c r="G17" s="13">
        <v>4.3099999999999996</v>
      </c>
      <c r="H17" s="262">
        <f>AVERAGE(B17:G17)</f>
        <v>3.0400000000000005</v>
      </c>
      <c r="I17" s="12" t="s">
        <v>70</v>
      </c>
      <c r="K17" s="11" t="s">
        <v>97</v>
      </c>
      <c r="L17" s="11">
        <v>3.26</v>
      </c>
      <c r="M17" s="11" t="s">
        <v>58</v>
      </c>
      <c r="O17" s="408" t="s">
        <v>242</v>
      </c>
      <c r="P17" s="415">
        <f>B16+B17</f>
        <v>7.4700000000000006</v>
      </c>
      <c r="Q17" s="416">
        <f>C16+C17</f>
        <v>3.8000000000000003</v>
      </c>
      <c r="R17" s="416">
        <f>D16</f>
        <v>5.75</v>
      </c>
      <c r="S17" s="416">
        <f>E16</f>
        <v>3.38</v>
      </c>
      <c r="T17" s="416">
        <f>F16</f>
        <v>3.7</v>
      </c>
      <c r="U17" s="417">
        <f>G16+G17</f>
        <v>7.9599999999999991</v>
      </c>
      <c r="V17" s="418">
        <f>L14</f>
        <v>6.2</v>
      </c>
      <c r="W17" s="413">
        <f>COUNT(P17:V17)</f>
        <v>7</v>
      </c>
      <c r="X17" s="416">
        <f>MIN(P17:V17)</f>
        <v>3.38</v>
      </c>
      <c r="Y17" s="416">
        <f>MAX(P17:V17)</f>
        <v>7.9599999999999991</v>
      </c>
      <c r="Z17" s="430">
        <f>AVERAGE(P17:V17)</f>
        <v>5.4657142857142862</v>
      </c>
      <c r="AA17" s="416">
        <f>STDEV(P17:V17)</f>
        <v>1.8753298122628712</v>
      </c>
      <c r="AB17" s="405" t="s">
        <v>58</v>
      </c>
    </row>
    <row r="18" spans="1:28" x14ac:dyDescent="0.3">
      <c r="A18" s="12" t="s">
        <v>239</v>
      </c>
      <c r="B18" s="13" t="s">
        <v>159</v>
      </c>
      <c r="C18" s="13">
        <v>0.37</v>
      </c>
      <c r="D18" s="13">
        <v>0.72</v>
      </c>
      <c r="E18" s="13" t="s">
        <v>159</v>
      </c>
      <c r="F18" s="259" t="s">
        <v>159</v>
      </c>
      <c r="G18" s="13" t="s">
        <v>159</v>
      </c>
      <c r="H18" s="262">
        <f>AVERAGE(B18:G18)</f>
        <v>0.54499999999999993</v>
      </c>
      <c r="I18" s="12" t="s">
        <v>58</v>
      </c>
      <c r="K18" s="15"/>
      <c r="O18" s="410" t="s">
        <v>97</v>
      </c>
      <c r="P18" s="423" t="s">
        <v>159</v>
      </c>
      <c r="Q18" s="424" t="s">
        <v>159</v>
      </c>
      <c r="R18" s="424" t="s">
        <v>159</v>
      </c>
      <c r="S18" s="424" t="s">
        <v>159</v>
      </c>
      <c r="T18" s="424" t="s">
        <v>159</v>
      </c>
      <c r="U18" s="425">
        <f>L17</f>
        <v>3.26</v>
      </c>
      <c r="V18" s="426" t="s">
        <v>159</v>
      </c>
      <c r="W18" s="414">
        <f>COUNT(P18:V18)</f>
        <v>1</v>
      </c>
      <c r="X18" s="424">
        <f>MIN(P18:V18)</f>
        <v>3.26</v>
      </c>
      <c r="Y18" s="424">
        <f>MAX(P18:V18)</f>
        <v>3.26</v>
      </c>
      <c r="Z18" s="432">
        <f>AVERAGE(P18:V18)</f>
        <v>3.26</v>
      </c>
      <c r="AA18" s="424" t="s">
        <v>159</v>
      </c>
      <c r="AB18" s="406" t="s">
        <v>58</v>
      </c>
    </row>
    <row r="19" spans="1:28" x14ac:dyDescent="0.3">
      <c r="K19" s="316"/>
    </row>
    <row r="20" spans="1:28" x14ac:dyDescent="0.3">
      <c r="A20" s="14"/>
    </row>
    <row r="21" spans="1:28" x14ac:dyDescent="0.3">
      <c r="A21"/>
      <c r="Z21" s="624">
        <f>Z15+Z16+Z17</f>
        <v>6.1943809523809525</v>
      </c>
      <c r="AA21" s="624">
        <f>Z12+Z8</f>
        <v>7.8742857142857137</v>
      </c>
      <c r="AB21" s="9">
        <f>Z21/AA21</f>
        <v>0.78665940977261739</v>
      </c>
    </row>
  </sheetData>
  <mergeCells count="22">
    <mergeCell ref="B14:H14"/>
    <mergeCell ref="K5:M5"/>
    <mergeCell ref="K6:K7"/>
    <mergeCell ref="M6:M7"/>
    <mergeCell ref="L6:L7"/>
    <mergeCell ref="A5:I5"/>
    <mergeCell ref="C6:F6"/>
    <mergeCell ref="B6:B7"/>
    <mergeCell ref="G6:G7"/>
    <mergeCell ref="I6:I7"/>
    <mergeCell ref="A6:A7"/>
    <mergeCell ref="H6:H7"/>
    <mergeCell ref="AA6:AA7"/>
    <mergeCell ref="O5:AB5"/>
    <mergeCell ref="O6:O7"/>
    <mergeCell ref="AB6:AB7"/>
    <mergeCell ref="Z6:Z7"/>
    <mergeCell ref="P6:U7"/>
    <mergeCell ref="V6:V7"/>
    <mergeCell ref="W6:W7"/>
    <mergeCell ref="X6:X7"/>
    <mergeCell ref="Y6:Y7"/>
  </mergeCells>
  <hyperlinks>
    <hyperlink ref="A1" r:id="rId1" xr:uid="{24EB636E-DC8B-419D-A0E7-2368C71A73F4}"/>
    <hyperlink ref="K1" r:id="rId2" location=":~:text=Life%20Cycle%20Assessment%20of%20olive%20oil%20production%20in%20Portugal" xr:uid="{F6AEDD03-1C83-4888-AD65-2B4823134854}"/>
    <hyperlink ref="V6" r:id="rId3" location=":~:text=Life%20Cycle%20Assessment%20of%20olive%20oil%20production%20in%20Portugal" xr:uid="{A64C6050-BCD9-4AE0-8E36-AA117F75F3B2}"/>
    <hyperlink ref="P6" r:id="rId4" xr:uid="{E41B86A0-DD5E-4921-A904-8608C7D769B4}"/>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3B11EA-11EF-4B4A-BC76-740E58090B74}">
  <dimension ref="A1:H41"/>
  <sheetViews>
    <sheetView tabSelected="1" workbookViewId="0">
      <selection activeCell="F40" sqref="F40"/>
    </sheetView>
  </sheetViews>
  <sheetFormatPr defaultRowHeight="14.4" x14ac:dyDescent="0.3"/>
  <cols>
    <col min="1" max="1" width="27.109375" customWidth="1"/>
    <col min="6" max="6" width="26.88671875" customWidth="1"/>
  </cols>
  <sheetData>
    <row r="1" spans="1:8" x14ac:dyDescent="0.3">
      <c r="A1" t="s">
        <v>243</v>
      </c>
      <c r="F1" t="s">
        <v>244</v>
      </c>
    </row>
    <row r="2" spans="1:8" x14ac:dyDescent="0.3">
      <c r="A2" t="s">
        <v>53</v>
      </c>
      <c r="F2" t="s">
        <v>53</v>
      </c>
    </row>
    <row r="3" spans="1:8" x14ac:dyDescent="0.3">
      <c r="A3" t="s">
        <v>245</v>
      </c>
      <c r="F3" t="s">
        <v>246</v>
      </c>
    </row>
    <row r="5" spans="1:8" x14ac:dyDescent="0.3">
      <c r="A5" s="17" t="s">
        <v>54</v>
      </c>
      <c r="B5" s="17" t="s">
        <v>55</v>
      </c>
      <c r="C5" s="17" t="s">
        <v>247</v>
      </c>
      <c r="F5" s="661" t="s">
        <v>248</v>
      </c>
      <c r="G5" s="662"/>
      <c r="H5" s="663"/>
    </row>
    <row r="6" spans="1:8" x14ac:dyDescent="0.3">
      <c r="A6" s="11" t="s">
        <v>249</v>
      </c>
      <c r="B6" s="16" t="s">
        <v>58</v>
      </c>
      <c r="C6" s="16">
        <v>5.5</v>
      </c>
      <c r="F6" s="11" t="s">
        <v>250</v>
      </c>
      <c r="G6" s="16" t="s">
        <v>58</v>
      </c>
      <c r="H6" s="16">
        <v>8.24</v>
      </c>
    </row>
    <row r="7" spans="1:8" x14ac:dyDescent="0.3">
      <c r="A7" s="11" t="s">
        <v>251</v>
      </c>
      <c r="B7" s="16" t="s">
        <v>58</v>
      </c>
      <c r="C7" s="16">
        <v>0.04</v>
      </c>
      <c r="F7" s="16" t="s">
        <v>252</v>
      </c>
      <c r="G7" s="16" t="s">
        <v>58</v>
      </c>
      <c r="H7" s="16">
        <v>0.129</v>
      </c>
    </row>
    <row r="8" spans="1:8" x14ac:dyDescent="0.3">
      <c r="A8" s="16" t="s">
        <v>253</v>
      </c>
      <c r="B8" s="16" t="s">
        <v>254</v>
      </c>
      <c r="C8" s="16">
        <v>4.55</v>
      </c>
      <c r="F8" s="16" t="s">
        <v>69</v>
      </c>
      <c r="G8" s="16" t="s">
        <v>58</v>
      </c>
      <c r="H8" s="16">
        <v>23</v>
      </c>
    </row>
    <row r="9" spans="1:8" x14ac:dyDescent="0.3">
      <c r="A9" s="16" t="s">
        <v>255</v>
      </c>
      <c r="B9" s="16" t="s">
        <v>254</v>
      </c>
      <c r="C9" s="16">
        <v>4.55</v>
      </c>
      <c r="F9" s="16" t="s">
        <v>256</v>
      </c>
      <c r="G9" s="16" t="s">
        <v>58</v>
      </c>
      <c r="H9" s="16">
        <v>3.6999999999999998E-2</v>
      </c>
    </row>
    <row r="10" spans="1:8" x14ac:dyDescent="0.3">
      <c r="A10" s="16" t="s">
        <v>75</v>
      </c>
      <c r="B10" s="16" t="s">
        <v>76</v>
      </c>
      <c r="C10" s="16">
        <v>0.58899999999999997</v>
      </c>
      <c r="F10" s="16" t="s">
        <v>257</v>
      </c>
      <c r="G10" s="16" t="s">
        <v>58</v>
      </c>
      <c r="H10" s="16">
        <v>0.10100000000000001</v>
      </c>
    </row>
    <row r="11" spans="1:8" x14ac:dyDescent="0.3">
      <c r="A11" s="16" t="s">
        <v>235</v>
      </c>
      <c r="B11" s="16" t="s">
        <v>58</v>
      </c>
      <c r="C11" s="16">
        <v>3.3000000000000002E-2</v>
      </c>
      <c r="F11" s="16" t="s">
        <v>258</v>
      </c>
      <c r="G11" s="16" t="s">
        <v>58</v>
      </c>
      <c r="H11" s="16">
        <v>0.115</v>
      </c>
    </row>
    <row r="12" spans="1:8" x14ac:dyDescent="0.3">
      <c r="A12" s="16" t="s">
        <v>69</v>
      </c>
      <c r="B12" s="16" t="s">
        <v>70</v>
      </c>
      <c r="C12" s="16">
        <v>0.59499999999999997</v>
      </c>
      <c r="F12" s="16" t="s">
        <v>259</v>
      </c>
      <c r="G12" s="16" t="s">
        <v>58</v>
      </c>
      <c r="H12" s="16">
        <v>1.4999999999999999E-2</v>
      </c>
    </row>
    <row r="13" spans="1:8" x14ac:dyDescent="0.3">
      <c r="A13" s="16" t="s">
        <v>260</v>
      </c>
      <c r="B13" s="16" t="s">
        <v>58</v>
      </c>
      <c r="C13" s="16">
        <v>3.0000000000000001E-3</v>
      </c>
      <c r="F13" s="16" t="s">
        <v>261</v>
      </c>
      <c r="G13" s="16" t="s">
        <v>58</v>
      </c>
      <c r="H13" s="16">
        <v>0.40100000000000002</v>
      </c>
    </row>
    <row r="14" spans="1:8" x14ac:dyDescent="0.3">
      <c r="A14" s="17" t="s">
        <v>83</v>
      </c>
      <c r="B14" s="17"/>
      <c r="C14" s="17"/>
      <c r="F14" s="16" t="s">
        <v>262</v>
      </c>
      <c r="G14" s="16" t="s">
        <v>76</v>
      </c>
      <c r="H14" s="16">
        <v>1.08</v>
      </c>
    </row>
    <row r="15" spans="1:8" x14ac:dyDescent="0.3">
      <c r="A15" s="16" t="s">
        <v>263</v>
      </c>
      <c r="B15" s="16" t="s">
        <v>58</v>
      </c>
      <c r="C15" s="16">
        <v>1</v>
      </c>
      <c r="F15" s="16" t="s">
        <v>264</v>
      </c>
      <c r="G15" s="16" t="s">
        <v>265</v>
      </c>
      <c r="H15" s="16">
        <v>6930</v>
      </c>
    </row>
    <row r="16" spans="1:8" x14ac:dyDescent="0.3">
      <c r="A16" s="17" t="s">
        <v>266</v>
      </c>
      <c r="B16" s="17"/>
      <c r="C16" s="17"/>
      <c r="F16" s="661" t="s">
        <v>267</v>
      </c>
      <c r="G16" s="662"/>
      <c r="H16" s="663"/>
    </row>
    <row r="17" spans="1:8" x14ac:dyDescent="0.3">
      <c r="A17" s="16" t="s">
        <v>268</v>
      </c>
      <c r="B17" s="16" t="s">
        <v>88</v>
      </c>
      <c r="C17" s="16">
        <v>84.6</v>
      </c>
      <c r="F17" s="16" t="s">
        <v>269</v>
      </c>
      <c r="G17" s="16" t="s">
        <v>58</v>
      </c>
      <c r="H17" s="16">
        <v>1</v>
      </c>
    </row>
    <row r="18" spans="1:8" x14ac:dyDescent="0.3">
      <c r="A18" s="16" t="s">
        <v>270</v>
      </c>
      <c r="B18" s="16" t="s">
        <v>82</v>
      </c>
      <c r="C18" s="16">
        <v>1.34</v>
      </c>
      <c r="F18" s="16" t="s">
        <v>271</v>
      </c>
      <c r="G18" s="16" t="s">
        <v>58</v>
      </c>
      <c r="H18" s="16">
        <v>0.49</v>
      </c>
    </row>
    <row r="19" spans="1:8" x14ac:dyDescent="0.3">
      <c r="A19" s="16" t="s">
        <v>272</v>
      </c>
      <c r="B19" s="16" t="s">
        <v>82</v>
      </c>
      <c r="C19" s="16">
        <v>0.13400000000000001</v>
      </c>
      <c r="F19" s="661" t="s">
        <v>273</v>
      </c>
      <c r="G19" s="662"/>
      <c r="H19" s="663"/>
    </row>
    <row r="20" spans="1:8" x14ac:dyDescent="0.3">
      <c r="A20" s="16" t="s">
        <v>274</v>
      </c>
      <c r="B20" s="16" t="s">
        <v>82</v>
      </c>
      <c r="C20" s="16">
        <v>9.9000000000000005E-2</v>
      </c>
      <c r="F20" s="16" t="s">
        <v>275</v>
      </c>
      <c r="G20" s="16" t="s">
        <v>88</v>
      </c>
      <c r="H20" s="16">
        <v>6</v>
      </c>
    </row>
    <row r="21" spans="1:8" x14ac:dyDescent="0.3">
      <c r="A21" s="16" t="s">
        <v>276</v>
      </c>
      <c r="B21" s="16" t="s">
        <v>82</v>
      </c>
      <c r="C21" s="16">
        <v>3.9E-2</v>
      </c>
      <c r="F21" s="16" t="s">
        <v>277</v>
      </c>
      <c r="G21" s="16" t="s">
        <v>88</v>
      </c>
      <c r="H21" s="16">
        <v>7.4999999999999997E-2</v>
      </c>
    </row>
    <row r="22" spans="1:8" x14ac:dyDescent="0.3">
      <c r="A22" s="16" t="s">
        <v>278</v>
      </c>
      <c r="B22" s="16" t="s">
        <v>82</v>
      </c>
      <c r="C22" s="16">
        <v>3.1E-2</v>
      </c>
      <c r="F22" s="16" t="s">
        <v>279</v>
      </c>
      <c r="G22" s="16" t="s">
        <v>88</v>
      </c>
      <c r="H22" s="16">
        <v>1.2</v>
      </c>
    </row>
    <row r="23" spans="1:8" x14ac:dyDescent="0.3">
      <c r="A23" s="11" t="s">
        <v>280</v>
      </c>
      <c r="B23" s="16" t="s">
        <v>82</v>
      </c>
      <c r="C23" s="16">
        <v>1E-3</v>
      </c>
      <c r="F23" s="16" t="s">
        <v>281</v>
      </c>
      <c r="G23" s="16" t="s">
        <v>88</v>
      </c>
      <c r="H23" s="16">
        <v>4.4999999999999998E-2</v>
      </c>
    </row>
    <row r="24" spans="1:8" x14ac:dyDescent="0.3">
      <c r="A24" s="15" t="s">
        <v>282</v>
      </c>
      <c r="F24" s="16" t="s">
        <v>283</v>
      </c>
      <c r="G24" s="16" t="s">
        <v>58</v>
      </c>
      <c r="H24" s="16">
        <v>0.19900000000000001</v>
      </c>
    </row>
    <row r="25" spans="1:8" x14ac:dyDescent="0.3">
      <c r="F25" s="16" t="s">
        <v>284</v>
      </c>
      <c r="G25" s="16" t="s">
        <v>88</v>
      </c>
      <c r="H25" s="16">
        <v>0.55200000000000005</v>
      </c>
    </row>
    <row r="26" spans="1:8" x14ac:dyDescent="0.3">
      <c r="F26" s="16" t="s">
        <v>285</v>
      </c>
      <c r="G26" s="16" t="s">
        <v>88</v>
      </c>
      <c r="H26" s="16">
        <v>4.2699999999999996</v>
      </c>
    </row>
    <row r="27" spans="1:8" x14ac:dyDescent="0.3">
      <c r="F27" s="16" t="s">
        <v>286</v>
      </c>
      <c r="G27" s="16" t="s">
        <v>88</v>
      </c>
      <c r="H27" s="16">
        <v>0.159</v>
      </c>
    </row>
    <row r="28" spans="1:8" x14ac:dyDescent="0.3">
      <c r="F28" s="660" t="s">
        <v>287</v>
      </c>
      <c r="G28" s="660"/>
      <c r="H28" s="660"/>
    </row>
    <row r="29" spans="1:8" x14ac:dyDescent="0.3">
      <c r="F29" s="16" t="s">
        <v>288</v>
      </c>
      <c r="G29" s="16" t="s">
        <v>88</v>
      </c>
      <c r="H29" s="16">
        <v>6.63</v>
      </c>
    </row>
    <row r="30" spans="1:8" x14ac:dyDescent="0.3">
      <c r="F30" s="16" t="s">
        <v>289</v>
      </c>
      <c r="G30" s="16" t="s">
        <v>88</v>
      </c>
      <c r="H30" s="16">
        <v>4.63</v>
      </c>
    </row>
    <row r="31" spans="1:8" x14ac:dyDescent="0.3">
      <c r="F31" s="16" t="s">
        <v>290</v>
      </c>
      <c r="G31" s="16" t="s">
        <v>88</v>
      </c>
      <c r="H31" s="16">
        <v>18.02</v>
      </c>
    </row>
    <row r="32" spans="1:8" x14ac:dyDescent="0.3">
      <c r="F32" s="16" t="s">
        <v>291</v>
      </c>
      <c r="G32" s="16" t="s">
        <v>88</v>
      </c>
      <c r="H32" s="16">
        <v>5.66</v>
      </c>
    </row>
    <row r="33" spans="6:8" x14ac:dyDescent="0.3">
      <c r="F33" s="16" t="s">
        <v>292</v>
      </c>
      <c r="G33" s="16" t="s">
        <v>88</v>
      </c>
      <c r="H33" s="16">
        <v>0.249</v>
      </c>
    </row>
    <row r="34" spans="6:8" x14ac:dyDescent="0.3">
      <c r="F34" s="660" t="s">
        <v>108</v>
      </c>
      <c r="G34" s="660"/>
      <c r="H34" s="660"/>
    </row>
    <row r="35" spans="6:8" x14ac:dyDescent="0.3">
      <c r="F35" s="16" t="s">
        <v>293</v>
      </c>
      <c r="G35" s="16" t="s">
        <v>88</v>
      </c>
      <c r="H35" s="16">
        <v>83.52</v>
      </c>
    </row>
    <row r="36" spans="6:8" x14ac:dyDescent="0.3">
      <c r="F36" s="16" t="s">
        <v>294</v>
      </c>
      <c r="G36" s="16" t="s">
        <v>88</v>
      </c>
      <c r="H36" s="16">
        <v>17.68</v>
      </c>
    </row>
    <row r="37" spans="6:8" x14ac:dyDescent="0.3">
      <c r="F37" s="16" t="s">
        <v>295</v>
      </c>
      <c r="G37" s="16" t="s">
        <v>88</v>
      </c>
      <c r="H37" s="16">
        <v>2.12</v>
      </c>
    </row>
    <row r="38" spans="6:8" x14ac:dyDescent="0.3">
      <c r="F38" s="16" t="s">
        <v>296</v>
      </c>
      <c r="G38" s="16" t="s">
        <v>88</v>
      </c>
      <c r="H38" s="16">
        <v>1.42</v>
      </c>
    </row>
    <row r="39" spans="6:8" x14ac:dyDescent="0.3">
      <c r="F39" s="16" t="s">
        <v>297</v>
      </c>
      <c r="G39" s="16" t="s">
        <v>88</v>
      </c>
      <c r="H39" s="16">
        <v>7.3999999999999996E-2</v>
      </c>
    </row>
    <row r="40" spans="6:8" x14ac:dyDescent="0.3">
      <c r="F40" s="16" t="s">
        <v>298</v>
      </c>
      <c r="G40" s="16" t="s">
        <v>88</v>
      </c>
      <c r="H40" s="16">
        <v>4.5</v>
      </c>
    </row>
    <row r="41" spans="6:8" x14ac:dyDescent="0.3">
      <c r="F41" s="15" t="s">
        <v>299</v>
      </c>
    </row>
  </sheetData>
  <mergeCells count="5">
    <mergeCell ref="F28:H28"/>
    <mergeCell ref="F34:H34"/>
    <mergeCell ref="F5:H5"/>
    <mergeCell ref="F16:H16"/>
    <mergeCell ref="F19:H19"/>
  </mergeCells>
  <hyperlinks>
    <hyperlink ref="A24" r:id="rId1" xr:uid="{961441BA-014E-4E08-A473-443E133DF74F}"/>
    <hyperlink ref="F41" r:id="rId2" xr:uid="{51264CD1-3B79-4D5B-9A97-D7E0E3C33354}"/>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7B0F80-D2DC-484A-B82B-BCD9EC500ECE}">
  <dimension ref="A1:BE155"/>
  <sheetViews>
    <sheetView workbookViewId="0">
      <selection activeCell="BD16" sqref="BD16"/>
    </sheetView>
  </sheetViews>
  <sheetFormatPr defaultRowHeight="14.4" x14ac:dyDescent="0.3"/>
  <cols>
    <col min="1" max="1" width="12.33203125" customWidth="1"/>
    <col min="2" max="2" width="42.88671875" customWidth="1"/>
    <col min="3" max="3" width="17.6640625" customWidth="1"/>
    <col min="4" max="5" width="10" customWidth="1"/>
    <col min="6" max="6" width="9.109375" customWidth="1"/>
    <col min="7" max="7" width="2.6640625" style="2" customWidth="1"/>
    <col min="8" max="8" width="8.44140625" customWidth="1"/>
    <col min="9" max="9" width="23.33203125" customWidth="1"/>
    <col min="10" max="10" width="25.5546875" customWidth="1"/>
    <col min="11" max="11" width="10.33203125" style="239" customWidth="1"/>
    <col min="12" max="13" width="9.109375" customWidth="1"/>
    <col min="14" max="14" width="8.33203125" customWidth="1"/>
    <col min="15" max="15" width="2" style="2" customWidth="1"/>
    <col min="16" max="16" width="2" customWidth="1"/>
    <col min="17" max="17" width="23.33203125" style="486" customWidth="1"/>
    <col min="18" max="18" width="41.6640625" customWidth="1"/>
    <col min="19" max="32" width="9.109375" customWidth="1"/>
    <col min="33" max="33" width="1.33203125" customWidth="1"/>
    <col min="34" max="34" width="9.109375" style="60"/>
    <col min="35" max="35" width="11.109375" hidden="1" customWidth="1"/>
    <col min="36" max="36" width="46" bestFit="1" customWidth="1"/>
    <col min="37" max="38" width="15.33203125" style="50" customWidth="1"/>
    <col min="39" max="56" width="9.109375" customWidth="1"/>
  </cols>
  <sheetData>
    <row r="1" spans="1:57" ht="15.6" x14ac:dyDescent="0.3">
      <c r="A1" t="s">
        <v>300</v>
      </c>
      <c r="B1" s="131" t="s">
        <v>301</v>
      </c>
      <c r="I1" t="s">
        <v>302</v>
      </c>
      <c r="J1" t="s">
        <v>303</v>
      </c>
      <c r="R1" t="s">
        <v>304</v>
      </c>
      <c r="T1" s="100" t="s">
        <v>305</v>
      </c>
      <c r="U1" s="99"/>
      <c r="V1" s="99"/>
      <c r="X1" t="s">
        <v>306</v>
      </c>
      <c r="AE1">
        <v>2012</v>
      </c>
      <c r="AJ1" s="668" t="s">
        <v>307</v>
      </c>
      <c r="AK1" s="668"/>
      <c r="AL1" s="668"/>
      <c r="AM1" s="668"/>
      <c r="AN1" s="668"/>
      <c r="AO1" s="668"/>
      <c r="AP1" s="668"/>
      <c r="AQ1" s="668"/>
      <c r="AR1" s="668"/>
      <c r="AS1" s="668"/>
      <c r="AT1" s="668"/>
      <c r="AU1" s="668"/>
      <c r="AV1" s="668"/>
      <c r="AW1" s="668"/>
      <c r="AX1" s="668"/>
      <c r="AY1" s="668"/>
      <c r="AZ1" s="668"/>
      <c r="BA1" s="668"/>
      <c r="BB1" s="668"/>
      <c r="BC1" s="668"/>
      <c r="BD1" s="668"/>
      <c r="BE1" s="668"/>
    </row>
    <row r="2" spans="1:57" ht="28.8" x14ac:dyDescent="0.3">
      <c r="A2" s="21" t="s">
        <v>308</v>
      </c>
      <c r="B2" s="22" t="s">
        <v>309</v>
      </c>
      <c r="I2" s="77" t="s">
        <v>310</v>
      </c>
      <c r="J2" s="81" t="s">
        <v>311</v>
      </c>
      <c r="K2" s="625"/>
      <c r="R2" s="484" t="s">
        <v>312</v>
      </c>
      <c r="S2" s="50"/>
      <c r="T2" s="50"/>
      <c r="AJ2" s="131" t="s">
        <v>313</v>
      </c>
      <c r="AK2" s="684" t="s">
        <v>314</v>
      </c>
      <c r="AL2" s="684"/>
      <c r="AT2" s="669" t="s">
        <v>315</v>
      </c>
      <c r="AU2" s="670"/>
      <c r="AV2" s="670"/>
      <c r="AW2" s="670"/>
      <c r="AX2" s="670"/>
      <c r="AY2" s="670"/>
    </row>
    <row r="3" spans="1:57" x14ac:dyDescent="0.3">
      <c r="A3" s="7" t="s">
        <v>316</v>
      </c>
      <c r="B3" s="23" t="s">
        <v>54</v>
      </c>
      <c r="C3" s="17" t="s">
        <v>247</v>
      </c>
      <c r="D3" s="17" t="s">
        <v>55</v>
      </c>
      <c r="I3" s="7" t="s">
        <v>317</v>
      </c>
      <c r="J3" s="23" t="s">
        <v>318</v>
      </c>
      <c r="K3" s="238" t="s">
        <v>319</v>
      </c>
      <c r="L3" s="23" t="s">
        <v>55</v>
      </c>
      <c r="M3" s="95"/>
      <c r="R3" s="284" t="s">
        <v>320</v>
      </c>
      <c r="S3" s="671" t="s">
        <v>319</v>
      </c>
      <c r="T3" s="672"/>
      <c r="U3" s="672"/>
      <c r="V3" s="672"/>
      <c r="W3" s="672"/>
      <c r="X3" s="672"/>
      <c r="Y3" s="672"/>
      <c r="Z3" s="672"/>
      <c r="AA3" s="672"/>
      <c r="AB3" s="672"/>
      <c r="AC3" s="672"/>
      <c r="AD3" s="672"/>
      <c r="AE3" s="673"/>
      <c r="AF3" s="285" t="s">
        <v>55</v>
      </c>
      <c r="AK3" s="517" t="s">
        <v>300</v>
      </c>
      <c r="AL3" s="50" t="s">
        <v>303</v>
      </c>
      <c r="AM3" s="665" t="s">
        <v>321</v>
      </c>
      <c r="AN3" s="666"/>
      <c r="AO3" s="666"/>
      <c r="AP3" s="666"/>
      <c r="AQ3" s="666"/>
      <c r="AR3" s="666"/>
      <c r="AS3" s="666"/>
      <c r="AT3" s="666"/>
      <c r="AU3" s="666"/>
      <c r="AV3" s="666"/>
      <c r="AW3" s="666"/>
      <c r="AX3" s="666"/>
      <c r="AY3" s="667"/>
      <c r="AZ3" s="40"/>
    </row>
    <row r="4" spans="1:57" ht="21" customHeight="1" x14ac:dyDescent="0.3">
      <c r="B4" s="7" t="s">
        <v>322</v>
      </c>
      <c r="C4" t="s">
        <v>323</v>
      </c>
      <c r="D4" t="s">
        <v>67</v>
      </c>
      <c r="E4" s="71">
        <f>C4*1000</f>
        <v>0.72599999999999998</v>
      </c>
      <c r="F4" t="s">
        <v>70</v>
      </c>
      <c r="G4" s="235"/>
      <c r="H4" s="41"/>
      <c r="I4" t="s">
        <v>324</v>
      </c>
      <c r="J4" t="s">
        <v>325</v>
      </c>
      <c r="K4" s="71">
        <v>4.9799999999999998E-5</v>
      </c>
      <c r="L4" t="s">
        <v>58</v>
      </c>
      <c r="R4" s="50" t="s">
        <v>326</v>
      </c>
      <c r="S4" s="266" t="s">
        <v>327</v>
      </c>
      <c r="T4" s="266" t="s">
        <v>328</v>
      </c>
      <c r="U4" s="266" t="s">
        <v>329</v>
      </c>
      <c r="V4" s="266" t="s">
        <v>330</v>
      </c>
      <c r="W4" s="273" t="s">
        <v>331</v>
      </c>
      <c r="X4" s="278" t="s">
        <v>332</v>
      </c>
      <c r="Y4" s="266" t="s">
        <v>333</v>
      </c>
      <c r="Z4" s="266" t="s">
        <v>334</v>
      </c>
      <c r="AA4" s="481" t="s">
        <v>335</v>
      </c>
      <c r="AB4" s="482" t="s">
        <v>335</v>
      </c>
      <c r="AC4" s="481" t="s">
        <v>336</v>
      </c>
      <c r="AD4" s="482" t="s">
        <v>336</v>
      </c>
      <c r="AE4" s="278" t="s">
        <v>337</v>
      </c>
      <c r="AF4" s="50"/>
      <c r="AI4" s="7" t="s">
        <v>338</v>
      </c>
      <c r="AJ4" s="352" t="s">
        <v>54</v>
      </c>
      <c r="AK4" s="510" t="s">
        <v>339</v>
      </c>
      <c r="AL4" s="510" t="s">
        <v>340</v>
      </c>
      <c r="AM4" s="496" t="s">
        <v>327</v>
      </c>
      <c r="AN4" s="496" t="s">
        <v>328</v>
      </c>
      <c r="AO4" s="496" t="s">
        <v>329</v>
      </c>
      <c r="AP4" s="496" t="s">
        <v>330</v>
      </c>
      <c r="AQ4" s="496" t="s">
        <v>331</v>
      </c>
      <c r="AR4" s="496" t="s">
        <v>332</v>
      </c>
      <c r="AS4" s="496" t="s">
        <v>333</v>
      </c>
      <c r="AT4" s="496" t="s">
        <v>334</v>
      </c>
      <c r="AU4" s="496" t="s">
        <v>341</v>
      </c>
      <c r="AV4" s="496" t="s">
        <v>342</v>
      </c>
      <c r="AW4" s="496" t="s">
        <v>343</v>
      </c>
      <c r="AX4" s="496" t="s">
        <v>344</v>
      </c>
      <c r="AY4" s="496" t="s">
        <v>337</v>
      </c>
      <c r="AZ4" s="483" t="s">
        <v>222</v>
      </c>
      <c r="BA4" s="234" t="s">
        <v>345</v>
      </c>
      <c r="BB4" s="234" t="s">
        <v>346</v>
      </c>
      <c r="BC4" s="356" t="s">
        <v>347</v>
      </c>
      <c r="BD4" s="234" t="s">
        <v>348</v>
      </c>
      <c r="BE4" s="253" t="s">
        <v>55</v>
      </c>
    </row>
    <row r="5" spans="1:57" x14ac:dyDescent="0.3">
      <c r="B5" s="7" t="s">
        <v>349</v>
      </c>
      <c r="C5" t="s">
        <v>350</v>
      </c>
      <c r="D5" t="s">
        <v>351</v>
      </c>
      <c r="G5" s="236"/>
      <c r="H5" s="40"/>
      <c r="J5" s="33" t="s">
        <v>324</v>
      </c>
      <c r="K5" s="434">
        <v>4.9799999999999998E-6</v>
      </c>
      <c r="L5" s="33" t="s">
        <v>351</v>
      </c>
      <c r="M5" s="33"/>
      <c r="R5" s="267" t="s">
        <v>352</v>
      </c>
      <c r="S5" s="268">
        <v>17</v>
      </c>
      <c r="T5" s="268">
        <v>3</v>
      </c>
      <c r="U5" s="268">
        <v>6</v>
      </c>
      <c r="V5" s="268">
        <v>6</v>
      </c>
      <c r="W5" s="274">
        <v>2.5</v>
      </c>
      <c r="X5" s="279">
        <v>6</v>
      </c>
      <c r="Y5" s="268">
        <v>14</v>
      </c>
      <c r="Z5" s="268">
        <v>7</v>
      </c>
      <c r="AA5" s="274">
        <v>87</v>
      </c>
      <c r="AB5" s="279">
        <v>87</v>
      </c>
      <c r="AC5" s="274">
        <v>193</v>
      </c>
      <c r="AD5" s="279">
        <v>193</v>
      </c>
      <c r="AE5" s="279">
        <v>65</v>
      </c>
      <c r="AF5" s="267" t="s">
        <v>351</v>
      </c>
      <c r="AJ5" t="s">
        <v>353</v>
      </c>
      <c r="AK5" s="503">
        <v>0.72599999999999998</v>
      </c>
      <c r="AL5" s="474">
        <f>K8+K13+K20</f>
        <v>9.5200224000000002</v>
      </c>
      <c r="AM5" s="498"/>
      <c r="AN5" s="499"/>
      <c r="AO5" s="499"/>
      <c r="AP5" s="499"/>
      <c r="AQ5" s="499"/>
      <c r="AR5" s="499"/>
      <c r="AS5" s="499"/>
      <c r="AT5" s="499"/>
      <c r="AU5" s="499">
        <v>1.3262820512820512</v>
      </c>
      <c r="AV5" s="499">
        <v>2.0792647058823528</v>
      </c>
      <c r="AW5" s="499"/>
      <c r="AX5" s="499"/>
      <c r="AY5" s="500"/>
      <c r="AZ5" s="552">
        <v>4</v>
      </c>
      <c r="BA5" s="162">
        <f>MIN(AK5:AY5)</f>
        <v>0.72599999999999998</v>
      </c>
      <c r="BB5" s="162">
        <f>MAX(AK5:AY5)</f>
        <v>9.5200224000000002</v>
      </c>
      <c r="BC5" s="465">
        <f>AVERAGE(AK5:AY5)</f>
        <v>3.4128922892911016</v>
      </c>
      <c r="BD5" s="348">
        <f>_xlfn.STDEV.S(AK5:AY5)</f>
        <v>4.1088900845188556</v>
      </c>
      <c r="BE5" s="49" t="s">
        <v>70</v>
      </c>
    </row>
    <row r="6" spans="1:57" x14ac:dyDescent="0.3">
      <c r="B6" s="18" t="s">
        <v>262</v>
      </c>
      <c r="C6" t="s">
        <v>354</v>
      </c>
      <c r="D6" t="s">
        <v>76</v>
      </c>
      <c r="G6" s="236"/>
      <c r="H6" s="40"/>
      <c r="J6" t="s">
        <v>355</v>
      </c>
      <c r="K6" s="239">
        <v>8.5000000000000006E-3</v>
      </c>
      <c r="L6" t="s">
        <v>58</v>
      </c>
      <c r="R6" s="50" t="s">
        <v>356</v>
      </c>
      <c r="S6" s="3" t="s">
        <v>357</v>
      </c>
      <c r="T6" s="3">
        <v>2012</v>
      </c>
      <c r="U6" s="3">
        <v>2012</v>
      </c>
      <c r="V6" s="3">
        <v>2012</v>
      </c>
      <c r="W6" s="275">
        <v>2012</v>
      </c>
      <c r="X6" s="280">
        <v>2012</v>
      </c>
      <c r="Y6" s="3">
        <v>2012</v>
      </c>
      <c r="Z6" s="3">
        <v>2011</v>
      </c>
      <c r="AA6" s="275">
        <v>2011</v>
      </c>
      <c r="AB6" s="280">
        <v>2012</v>
      </c>
      <c r="AC6" s="3">
        <v>2011</v>
      </c>
      <c r="AD6" s="280">
        <v>2012</v>
      </c>
      <c r="AE6" s="283">
        <v>2011</v>
      </c>
      <c r="AF6" s="50"/>
      <c r="AJ6" s="100" t="s">
        <v>358</v>
      </c>
      <c r="AK6" s="503" t="s">
        <v>350</v>
      </c>
      <c r="AL6" s="474">
        <f>K5+M11</f>
        <v>2.3198000000000001E-4</v>
      </c>
      <c r="AM6" s="506">
        <v>17</v>
      </c>
      <c r="AN6" s="507">
        <v>3</v>
      </c>
      <c r="AO6" s="507">
        <v>6</v>
      </c>
      <c r="AP6" s="507">
        <v>6</v>
      </c>
      <c r="AQ6" s="507">
        <v>2.5</v>
      </c>
      <c r="AR6" s="507">
        <v>6</v>
      </c>
      <c r="AS6" s="507">
        <v>14</v>
      </c>
      <c r="AT6" s="507">
        <v>7</v>
      </c>
      <c r="AU6" s="507">
        <v>87</v>
      </c>
      <c r="AV6" s="507">
        <v>87</v>
      </c>
      <c r="AW6" s="507">
        <v>193</v>
      </c>
      <c r="AX6" s="507">
        <v>193</v>
      </c>
      <c r="AY6" s="508">
        <v>65</v>
      </c>
      <c r="AZ6" s="552"/>
      <c r="BA6" s="562">
        <f t="shared" ref="BA6:BA12" si="0">MIN(AK6:AY6)</f>
        <v>2.3198000000000001E-4</v>
      </c>
      <c r="BB6" s="562">
        <f t="shared" ref="BB6:BB12" si="1">MAX(AK6:AY6)</f>
        <v>193</v>
      </c>
      <c r="BC6" s="392">
        <f t="shared" ref="BC6:BC12" si="2">AVERAGE(AK6:AY6)</f>
        <v>49.035730855714284</v>
      </c>
      <c r="BD6" s="563">
        <f t="shared" ref="BD6:BD11" si="3">_xlfn.STDEV.S(AK6:AY6)</f>
        <v>68.419075945628094</v>
      </c>
      <c r="BE6" t="s">
        <v>351</v>
      </c>
    </row>
    <row r="7" spans="1:57" x14ac:dyDescent="0.3">
      <c r="B7" t="s">
        <v>359</v>
      </c>
      <c r="C7" t="s">
        <v>360</v>
      </c>
      <c r="D7" t="s">
        <v>361</v>
      </c>
      <c r="J7" t="s">
        <v>362</v>
      </c>
      <c r="K7" s="239">
        <v>6.4999999999999997E-4</v>
      </c>
      <c r="L7" t="s">
        <v>70</v>
      </c>
      <c r="Q7" s="485" t="s">
        <v>54</v>
      </c>
      <c r="R7" s="271"/>
      <c r="S7" s="271"/>
      <c r="T7" s="271"/>
      <c r="U7" s="271"/>
      <c r="V7" s="271"/>
      <c r="W7" s="276"/>
      <c r="X7" s="281"/>
      <c r="Y7" s="271"/>
      <c r="Z7" s="271"/>
      <c r="AA7" s="276"/>
      <c r="AB7" s="281"/>
      <c r="AC7" s="271"/>
      <c r="AD7" s="281"/>
      <c r="AE7" s="281"/>
      <c r="AF7" s="271"/>
      <c r="AJ7" s="445" t="s">
        <v>363</v>
      </c>
      <c r="AK7" s="545">
        <v>0.13539999999999999</v>
      </c>
      <c r="AL7" s="474">
        <f>K9+K14</f>
        <v>2.8797999999999997E-2</v>
      </c>
      <c r="AM7" s="501">
        <v>6.8192307692307691E-2</v>
      </c>
      <c r="AN7" s="501">
        <v>5.0250000000000003E-2</v>
      </c>
      <c r="AO7" s="501">
        <v>0</v>
      </c>
      <c r="AP7" s="501">
        <v>2.6841626213592231E-2</v>
      </c>
      <c r="AQ7" s="501">
        <v>0.28335937500000002</v>
      </c>
      <c r="AR7" s="501">
        <v>1.6264897510980969</v>
      </c>
      <c r="AS7" s="501">
        <v>4.4072164948453611E-2</v>
      </c>
      <c r="AT7" s="501">
        <v>9.2723342939481271E-2</v>
      </c>
      <c r="AU7" s="501">
        <v>0.13787179487179485</v>
      </c>
      <c r="AV7" s="501">
        <v>0.31364558823529409</v>
      </c>
      <c r="AW7" s="501">
        <v>7.595357142857144E-2</v>
      </c>
      <c r="AX7" s="501">
        <v>5.0842241379310343E-2</v>
      </c>
      <c r="AY7" s="542">
        <v>1.3570190641247835E-2</v>
      </c>
      <c r="AZ7" s="552">
        <v>15</v>
      </c>
      <c r="BA7" s="162">
        <f t="shared" si="0"/>
        <v>0</v>
      </c>
      <c r="BB7" s="162">
        <f t="shared" si="1"/>
        <v>1.6264897510980969</v>
      </c>
      <c r="BC7" s="465">
        <f t="shared" si="2"/>
        <v>0.19653399696320994</v>
      </c>
      <c r="BD7" s="348">
        <f t="shared" si="3"/>
        <v>0.40619274690258328</v>
      </c>
      <c r="BE7" t="s">
        <v>58</v>
      </c>
    </row>
    <row r="8" spans="1:57" x14ac:dyDescent="0.3">
      <c r="B8" s="441" t="s">
        <v>364</v>
      </c>
      <c r="C8" s="1"/>
      <c r="D8" s="1"/>
      <c r="J8" s="7" t="s">
        <v>69</v>
      </c>
      <c r="K8" s="239">
        <v>2.2399999999999999E-5</v>
      </c>
      <c r="L8" t="s">
        <v>70</v>
      </c>
      <c r="Q8" s="487" t="s">
        <v>365</v>
      </c>
      <c r="R8" s="452" t="s">
        <v>366</v>
      </c>
      <c r="S8" s="3">
        <v>17.5</v>
      </c>
      <c r="T8" s="3">
        <v>72</v>
      </c>
      <c r="U8" s="3"/>
      <c r="V8" s="3">
        <v>18</v>
      </c>
      <c r="W8" s="275"/>
      <c r="X8" s="280"/>
      <c r="Y8" s="3">
        <v>13</v>
      </c>
      <c r="Z8" s="3">
        <v>46</v>
      </c>
      <c r="AA8" s="275">
        <v>0.06</v>
      </c>
      <c r="AB8" s="280">
        <v>0.03</v>
      </c>
      <c r="AC8" s="3"/>
      <c r="AD8" s="280"/>
      <c r="AE8" s="280"/>
      <c r="AF8" s="50" t="s">
        <v>58</v>
      </c>
      <c r="AJ8" s="401" t="s">
        <v>367</v>
      </c>
      <c r="AK8" s="546">
        <v>5.6043999999999997E-2</v>
      </c>
      <c r="AL8" s="474">
        <f>K17+K18</f>
        <v>1.152E-3</v>
      </c>
      <c r="AM8" s="501">
        <v>0.10227753036437247</v>
      </c>
      <c r="AN8" s="501">
        <v>5.5243125000000004E-2</v>
      </c>
      <c r="AO8" s="501">
        <v>8.5939156626506016E-2</v>
      </c>
      <c r="AP8" s="501">
        <v>0.43859981796116504</v>
      </c>
      <c r="AQ8" s="501">
        <v>0.21239648437499997</v>
      </c>
      <c r="AR8" s="501">
        <v>0.21870461200585653</v>
      </c>
      <c r="AS8" s="501">
        <v>1.3496686303387333E-2</v>
      </c>
      <c r="AT8" s="501">
        <v>8.2672910662824205E-4</v>
      </c>
      <c r="AU8" s="501">
        <v>0.10088108974358972</v>
      </c>
      <c r="AV8" s="501">
        <v>0.14516029411764708</v>
      </c>
      <c r="AW8" s="501">
        <v>0.56278317857142846</v>
      </c>
      <c r="AX8" s="501">
        <v>0.33328448275862071</v>
      </c>
      <c r="AY8" s="542">
        <v>0.12059337088388215</v>
      </c>
      <c r="AZ8" s="552">
        <v>15</v>
      </c>
      <c r="BA8" s="162">
        <f t="shared" si="0"/>
        <v>8.2672910662824205E-4</v>
      </c>
      <c r="BB8" s="162">
        <f t="shared" si="1"/>
        <v>0.56278317857142846</v>
      </c>
      <c r="BC8" s="465">
        <f t="shared" si="2"/>
        <v>0.16315883718787222</v>
      </c>
      <c r="BD8" s="348">
        <f t="shared" si="3"/>
        <v>0.16557681354771325</v>
      </c>
      <c r="BE8" t="s">
        <v>58</v>
      </c>
    </row>
    <row r="9" spans="1:57" x14ac:dyDescent="0.3">
      <c r="B9" s="20" t="s">
        <v>368</v>
      </c>
      <c r="C9" s="1"/>
      <c r="D9" s="1"/>
      <c r="J9" s="445" t="s">
        <v>369</v>
      </c>
      <c r="K9" s="450">
        <v>4.9799999999999996E-4</v>
      </c>
      <c r="L9" t="s">
        <v>58</v>
      </c>
      <c r="Q9" s="488"/>
      <c r="R9" s="452" t="s">
        <v>116</v>
      </c>
      <c r="S9" s="3">
        <v>35</v>
      </c>
      <c r="T9" s="3">
        <v>48</v>
      </c>
      <c r="U9" s="3"/>
      <c r="V9" s="3">
        <v>16</v>
      </c>
      <c r="W9" s="275"/>
      <c r="X9" s="280"/>
      <c r="Y9" s="3">
        <v>26</v>
      </c>
      <c r="Z9" s="3">
        <v>83</v>
      </c>
      <c r="AA9" s="275">
        <v>22.4</v>
      </c>
      <c r="AB9" s="280">
        <v>13.4</v>
      </c>
      <c r="AC9" s="3">
        <v>0.24</v>
      </c>
      <c r="AD9" s="280"/>
      <c r="AE9" s="280">
        <v>18</v>
      </c>
      <c r="AF9" s="50" t="s">
        <v>58</v>
      </c>
      <c r="AJ9" s="7" t="s">
        <v>370</v>
      </c>
      <c r="AK9" s="546">
        <v>1.26</v>
      </c>
      <c r="AL9" s="275"/>
      <c r="AM9" s="501"/>
      <c r="AN9" s="71"/>
      <c r="AO9" s="71"/>
      <c r="AP9" s="71"/>
      <c r="AQ9" s="71"/>
      <c r="AR9" s="71"/>
      <c r="AS9" s="71"/>
      <c r="AT9" s="71"/>
      <c r="AU9" s="71"/>
      <c r="AV9" s="71"/>
      <c r="AW9" s="71"/>
      <c r="AX9" s="71"/>
      <c r="AY9" s="502"/>
      <c r="AZ9" s="552">
        <v>1</v>
      </c>
      <c r="BA9" s="162">
        <f t="shared" si="0"/>
        <v>1.26</v>
      </c>
      <c r="BB9" s="162">
        <f t="shared" si="1"/>
        <v>1.26</v>
      </c>
      <c r="BC9" s="465">
        <f t="shared" si="2"/>
        <v>1.26</v>
      </c>
      <c r="BD9" s="348"/>
      <c r="BE9" t="s">
        <v>58</v>
      </c>
    </row>
    <row r="10" spans="1:57" x14ac:dyDescent="0.3">
      <c r="B10" s="442" t="s">
        <v>371</v>
      </c>
      <c r="C10" t="s">
        <v>372</v>
      </c>
      <c r="D10" t="s">
        <v>361</v>
      </c>
      <c r="J10" t="s">
        <v>373</v>
      </c>
      <c r="K10" s="239">
        <v>2.9E-4</v>
      </c>
      <c r="L10" t="s">
        <v>374</v>
      </c>
      <c r="Q10" s="488"/>
      <c r="R10" s="452" t="s">
        <v>375</v>
      </c>
      <c r="S10" s="3">
        <v>35</v>
      </c>
      <c r="T10" s="3">
        <v>48</v>
      </c>
      <c r="U10" s="3"/>
      <c r="V10" s="3">
        <v>20</v>
      </c>
      <c r="W10" s="275"/>
      <c r="X10" s="280"/>
      <c r="Y10" s="3">
        <v>27</v>
      </c>
      <c r="Z10" s="3">
        <v>83</v>
      </c>
      <c r="AA10" s="275">
        <v>21.5</v>
      </c>
      <c r="AB10" s="280"/>
      <c r="AC10" s="3">
        <v>1.25</v>
      </c>
      <c r="AD10" s="280">
        <v>0.78</v>
      </c>
      <c r="AE10" s="280">
        <v>12.9</v>
      </c>
      <c r="AF10" s="50" t="s">
        <v>58</v>
      </c>
      <c r="AJ10" t="s">
        <v>376</v>
      </c>
      <c r="AK10" s="275" t="s">
        <v>354</v>
      </c>
      <c r="AL10" s="474">
        <v>7.3499999999999998E-4</v>
      </c>
      <c r="AM10" s="501"/>
      <c r="AN10" s="71"/>
      <c r="AO10" s="71"/>
      <c r="AP10" s="71"/>
      <c r="AQ10" s="71"/>
      <c r="AR10" s="71"/>
      <c r="AS10" s="71"/>
      <c r="AT10" s="71"/>
      <c r="AU10" s="71"/>
      <c r="AV10" s="71"/>
      <c r="AW10" s="71"/>
      <c r="AX10" s="71"/>
      <c r="AY10" s="502"/>
      <c r="AZ10" s="552">
        <v>2</v>
      </c>
      <c r="BA10" s="162">
        <f t="shared" si="0"/>
        <v>7.3499999999999998E-4</v>
      </c>
      <c r="BB10" s="162">
        <f t="shared" si="1"/>
        <v>7.3499999999999998E-4</v>
      </c>
      <c r="BC10" s="465">
        <f t="shared" si="2"/>
        <v>7.3499999999999998E-4</v>
      </c>
      <c r="BD10" s="348"/>
      <c r="BE10" t="s">
        <v>76</v>
      </c>
    </row>
    <row r="11" spans="1:57" x14ac:dyDescent="0.3">
      <c r="B11" s="1" t="s">
        <v>377</v>
      </c>
      <c r="C11" s="1"/>
      <c r="D11" s="1"/>
      <c r="J11" s="33" t="s">
        <v>378</v>
      </c>
      <c r="K11" s="434" t="s">
        <v>379</v>
      </c>
      <c r="L11" s="435" t="s">
        <v>380</v>
      </c>
      <c r="M11" s="473">
        <f>2.27*0.0001</f>
        <v>2.2700000000000002E-4</v>
      </c>
      <c r="N11" s="33" t="s">
        <v>381</v>
      </c>
      <c r="Q11" s="488"/>
      <c r="R11" s="452" t="s">
        <v>382</v>
      </c>
      <c r="S11" s="3"/>
      <c r="T11" s="3"/>
      <c r="U11" s="3"/>
      <c r="V11" s="3"/>
      <c r="W11" s="275"/>
      <c r="X11" s="280"/>
      <c r="Y11" s="3"/>
      <c r="Z11" s="3"/>
      <c r="AA11" s="300"/>
      <c r="AB11" s="301"/>
      <c r="AC11" s="302">
        <v>1.81</v>
      </c>
      <c r="AD11" s="301">
        <v>1.81</v>
      </c>
      <c r="AE11" s="301"/>
      <c r="AF11" s="299" t="s">
        <v>58</v>
      </c>
      <c r="AJ11" t="s">
        <v>81</v>
      </c>
      <c r="AK11" s="275" t="s">
        <v>360</v>
      </c>
      <c r="AL11" s="515">
        <v>4.9299999999999995E-3</v>
      </c>
      <c r="AM11" s="541">
        <v>2.725506072874494E-2</v>
      </c>
      <c r="AN11" s="541">
        <v>7.5703124999999996E-2</v>
      </c>
      <c r="AO11" s="541">
        <v>6.6822289156626496E-2</v>
      </c>
      <c r="AP11" s="541">
        <v>7.7289138349514563E-2</v>
      </c>
      <c r="AQ11" s="541">
        <v>5.7972656250000004E-2</v>
      </c>
      <c r="AR11" s="541">
        <v>3.7801976573938502E-2</v>
      </c>
      <c r="AS11" s="541">
        <v>2.8166421207658322E-2</v>
      </c>
      <c r="AT11" s="541">
        <v>1.9152557636887606E-2</v>
      </c>
      <c r="AU11" s="541">
        <v>3.3972756410256412E-2</v>
      </c>
      <c r="AV11" s="541">
        <v>4.9575000000000001E-2</v>
      </c>
      <c r="AW11" s="541">
        <v>2.6283214285714288E-2</v>
      </c>
      <c r="AX11" s="541">
        <v>2.0334051724137929E-2</v>
      </c>
      <c r="AY11" s="543">
        <v>3.5697790294627385E-2</v>
      </c>
      <c r="AZ11" s="552">
        <v>15</v>
      </c>
      <c r="BA11" s="162">
        <f t="shared" si="0"/>
        <v>4.9299999999999995E-3</v>
      </c>
      <c r="BB11" s="162">
        <f t="shared" si="1"/>
        <v>7.7289138349514563E-2</v>
      </c>
      <c r="BC11" s="465">
        <f t="shared" si="2"/>
        <v>4.0068288401293325E-2</v>
      </c>
      <c r="BD11" s="348">
        <f t="shared" si="3"/>
        <v>2.2189421267288695E-2</v>
      </c>
      <c r="BE11" t="s">
        <v>361</v>
      </c>
    </row>
    <row r="12" spans="1:57" x14ac:dyDescent="0.3">
      <c r="B12" s="443" t="s">
        <v>383</v>
      </c>
      <c r="C12" t="s">
        <v>384</v>
      </c>
      <c r="D12" t="s">
        <v>361</v>
      </c>
      <c r="I12" t="s">
        <v>385</v>
      </c>
      <c r="J12" t="s">
        <v>386</v>
      </c>
      <c r="K12" s="239">
        <v>5.6700000000000001E-4</v>
      </c>
      <c r="L12" t="s">
        <v>351</v>
      </c>
      <c r="Q12" s="488"/>
      <c r="R12" s="452" t="s">
        <v>387</v>
      </c>
      <c r="S12" s="3">
        <v>6.8</v>
      </c>
      <c r="T12" s="3"/>
      <c r="U12" s="3"/>
      <c r="V12" s="3"/>
      <c r="W12" s="275"/>
      <c r="X12" s="280"/>
      <c r="Y12" s="3"/>
      <c r="Z12" s="3"/>
      <c r="AA12" s="275"/>
      <c r="AB12" s="280"/>
      <c r="AC12" s="3"/>
      <c r="AD12" s="280"/>
      <c r="AE12" s="280"/>
      <c r="AF12" s="50" t="s">
        <v>58</v>
      </c>
      <c r="AJ12" s="19" t="s">
        <v>388</v>
      </c>
      <c r="AK12" s="275" t="s">
        <v>389</v>
      </c>
      <c r="AL12" s="474">
        <v>8.5700000000000001E-4</v>
      </c>
      <c r="AM12" s="501"/>
      <c r="AN12" s="71"/>
      <c r="AO12" s="71"/>
      <c r="AP12" s="71"/>
      <c r="AQ12" s="71"/>
      <c r="AR12" s="71"/>
      <c r="AS12" s="71"/>
      <c r="AT12" s="71"/>
      <c r="AU12" s="71"/>
      <c r="AV12" s="71"/>
      <c r="AW12" s="71"/>
      <c r="AX12" s="71"/>
      <c r="AY12" s="502"/>
      <c r="AZ12" s="552">
        <v>2</v>
      </c>
      <c r="BA12" s="162">
        <f t="shared" si="0"/>
        <v>8.5700000000000001E-4</v>
      </c>
      <c r="BB12" s="162">
        <f t="shared" si="1"/>
        <v>8.5700000000000001E-4</v>
      </c>
      <c r="BC12" s="465">
        <f t="shared" si="2"/>
        <v>8.5700000000000001E-4</v>
      </c>
      <c r="BD12" s="348"/>
      <c r="BE12" t="s">
        <v>390</v>
      </c>
    </row>
    <row r="13" spans="1:57" x14ac:dyDescent="0.3">
      <c r="B13" s="442" t="s">
        <v>391</v>
      </c>
      <c r="C13" t="s">
        <v>392</v>
      </c>
      <c r="D13" t="s">
        <v>361</v>
      </c>
      <c r="I13" t="s">
        <v>393</v>
      </c>
      <c r="J13" s="7" t="s">
        <v>69</v>
      </c>
      <c r="K13" s="239">
        <v>0</v>
      </c>
      <c r="L13" t="s">
        <v>70</v>
      </c>
      <c r="Q13" s="488"/>
      <c r="R13" s="452" t="s">
        <v>394</v>
      </c>
      <c r="S13" s="3"/>
      <c r="T13" s="3"/>
      <c r="U13" s="3"/>
      <c r="V13" s="3"/>
      <c r="W13" s="275"/>
      <c r="X13" s="280"/>
      <c r="Y13" s="3"/>
      <c r="Z13" s="3"/>
      <c r="AA13" s="300">
        <v>225.3</v>
      </c>
      <c r="AB13" s="301">
        <v>679.9</v>
      </c>
      <c r="AC13" s="302"/>
      <c r="AD13" s="301"/>
      <c r="AE13" s="301"/>
      <c r="AF13" s="299" t="s">
        <v>361</v>
      </c>
      <c r="AJ13" s="19" t="s">
        <v>395</v>
      </c>
      <c r="AK13" s="275" t="s">
        <v>396</v>
      </c>
      <c r="AL13" s="275"/>
      <c r="AM13" s="501"/>
      <c r="AN13" s="71"/>
      <c r="AO13" s="71"/>
      <c r="AP13" s="71"/>
      <c r="AQ13" s="71"/>
      <c r="AR13" s="71"/>
      <c r="AS13" s="71"/>
      <c r="AT13" s="71"/>
      <c r="AU13" s="71"/>
      <c r="AV13" s="71"/>
      <c r="AW13" s="71"/>
      <c r="AX13" s="71"/>
      <c r="AY13" s="502"/>
      <c r="AZ13" s="552">
        <v>1</v>
      </c>
      <c r="BA13" s="347"/>
      <c r="BB13" s="162"/>
      <c r="BC13" s="465"/>
      <c r="BD13" s="348"/>
      <c r="BE13" t="s">
        <v>390</v>
      </c>
    </row>
    <row r="14" spans="1:57" x14ac:dyDescent="0.3">
      <c r="B14" s="1" t="s">
        <v>397</v>
      </c>
      <c r="C14" s="1"/>
      <c r="D14" s="1"/>
      <c r="I14" s="445" t="s">
        <v>398</v>
      </c>
      <c r="J14" s="445" t="s">
        <v>369</v>
      </c>
      <c r="K14" s="450">
        <v>2.8299999999999999E-2</v>
      </c>
      <c r="L14" t="s">
        <v>58</v>
      </c>
      <c r="Q14" s="488"/>
      <c r="R14" s="452" t="s">
        <v>399</v>
      </c>
      <c r="S14" s="3">
        <v>280</v>
      </c>
      <c r="T14" s="3"/>
      <c r="U14" s="3"/>
      <c r="V14" s="3"/>
      <c r="W14" s="275"/>
      <c r="X14" s="280">
        <v>144</v>
      </c>
      <c r="Y14" s="3"/>
      <c r="Z14" s="3">
        <v>140</v>
      </c>
      <c r="AA14" s="275">
        <v>160.9</v>
      </c>
      <c r="AB14" s="280"/>
      <c r="AC14" s="3"/>
      <c r="AD14" s="280"/>
      <c r="AE14" s="280"/>
      <c r="AF14" s="50" t="s">
        <v>58</v>
      </c>
      <c r="AJ14" s="472" t="s">
        <v>83</v>
      </c>
      <c r="AK14" s="510" t="s">
        <v>339</v>
      </c>
      <c r="AL14" s="510" t="s">
        <v>340</v>
      </c>
      <c r="AM14" s="497" t="s">
        <v>327</v>
      </c>
      <c r="AN14" s="497" t="s">
        <v>328</v>
      </c>
      <c r="AO14" s="497" t="s">
        <v>329</v>
      </c>
      <c r="AP14" s="497" t="s">
        <v>330</v>
      </c>
      <c r="AQ14" s="497" t="s">
        <v>331</v>
      </c>
      <c r="AR14" s="497" t="s">
        <v>332</v>
      </c>
      <c r="AS14" s="497" t="s">
        <v>333</v>
      </c>
      <c r="AT14" s="497" t="s">
        <v>334</v>
      </c>
      <c r="AU14" s="497" t="s">
        <v>341</v>
      </c>
      <c r="AV14" s="497" t="s">
        <v>342</v>
      </c>
      <c r="AW14" s="497" t="s">
        <v>343</v>
      </c>
      <c r="AX14" s="497" t="s">
        <v>344</v>
      </c>
      <c r="AY14" s="497" t="s">
        <v>337</v>
      </c>
      <c r="AZ14" s="483" t="s">
        <v>222</v>
      </c>
      <c r="BA14" s="234" t="s">
        <v>345</v>
      </c>
      <c r="BB14" s="234" t="s">
        <v>346</v>
      </c>
      <c r="BC14" s="356" t="s">
        <v>347</v>
      </c>
      <c r="BD14" s="234" t="s">
        <v>348</v>
      </c>
      <c r="BE14" s="253" t="s">
        <v>55</v>
      </c>
    </row>
    <row r="15" spans="1:57" x14ac:dyDescent="0.3">
      <c r="B15" s="401" t="s">
        <v>400</v>
      </c>
      <c r="C15" t="s">
        <v>401</v>
      </c>
      <c r="D15" t="s">
        <v>361</v>
      </c>
      <c r="J15" s="475" t="s">
        <v>398</v>
      </c>
      <c r="K15" s="476">
        <v>2.2699999999999999E-4</v>
      </c>
      <c r="L15" s="78" t="s">
        <v>351</v>
      </c>
      <c r="M15" s="78"/>
      <c r="Q15" s="488"/>
      <c r="R15" s="452" t="s">
        <v>402</v>
      </c>
      <c r="S15" s="3"/>
      <c r="T15" s="3">
        <v>100</v>
      </c>
      <c r="U15" s="3"/>
      <c r="V15" s="3">
        <v>40</v>
      </c>
      <c r="W15" s="275">
        <v>400</v>
      </c>
      <c r="X15" s="280">
        <v>300</v>
      </c>
      <c r="Y15" s="3">
        <v>200</v>
      </c>
      <c r="Z15" s="3">
        <v>220</v>
      </c>
      <c r="AA15" s="275"/>
      <c r="AB15" s="280"/>
      <c r="AC15" s="3">
        <v>39</v>
      </c>
      <c r="AD15" s="280"/>
      <c r="AE15" s="280"/>
      <c r="AF15" s="50" t="s">
        <v>88</v>
      </c>
      <c r="AI15" s="7" t="s">
        <v>338</v>
      </c>
      <c r="AJ15" s="557" t="s">
        <v>403</v>
      </c>
      <c r="AK15" s="556"/>
      <c r="AL15" s="553"/>
      <c r="AM15" s="554">
        <f>AVERAGE(5.85,6.5)</f>
        <v>6.1749999999999998</v>
      </c>
      <c r="AN15" s="554">
        <v>6</v>
      </c>
      <c r="AO15" s="554">
        <v>8.3000000000000007</v>
      </c>
      <c r="AP15" s="554">
        <v>4.12</v>
      </c>
      <c r="AQ15" s="554">
        <v>3.2</v>
      </c>
      <c r="AR15" s="554">
        <v>6.83</v>
      </c>
      <c r="AS15" s="554">
        <v>6.79</v>
      </c>
      <c r="AT15" s="554">
        <v>6.94</v>
      </c>
      <c r="AU15" s="554">
        <v>3.51</v>
      </c>
      <c r="AV15" s="554">
        <v>2.5499999999999998</v>
      </c>
      <c r="AW15" s="554">
        <v>3.5</v>
      </c>
      <c r="AX15" s="554">
        <v>4.3499999999999996</v>
      </c>
      <c r="AY15" s="555">
        <v>5.77</v>
      </c>
      <c r="AZ15" s="544"/>
      <c r="BA15" s="139"/>
      <c r="BB15" s="139"/>
      <c r="BC15" s="532"/>
      <c r="BD15" s="139"/>
      <c r="BE15" s="195" t="s">
        <v>143</v>
      </c>
    </row>
    <row r="16" spans="1:57" x14ac:dyDescent="0.3">
      <c r="B16" s="1" t="s">
        <v>404</v>
      </c>
      <c r="C16" s="1"/>
      <c r="D16" s="1"/>
      <c r="J16" t="s">
        <v>373</v>
      </c>
      <c r="K16" s="239">
        <v>4.84E-4</v>
      </c>
      <c r="L16" t="s">
        <v>374</v>
      </c>
      <c r="Q16" s="488"/>
      <c r="R16" s="452" t="s">
        <v>405</v>
      </c>
      <c r="S16" s="3"/>
      <c r="T16" s="3"/>
      <c r="U16" s="3"/>
      <c r="V16" s="3"/>
      <c r="W16" s="275">
        <v>6</v>
      </c>
      <c r="X16" s="280"/>
      <c r="Y16" s="3"/>
      <c r="Z16" s="3"/>
      <c r="AA16" s="275"/>
      <c r="AB16" s="280"/>
      <c r="AC16" s="3"/>
      <c r="AD16" s="280"/>
      <c r="AE16" s="280"/>
      <c r="AF16" s="50" t="s">
        <v>58</v>
      </c>
      <c r="AJ16" s="24" t="s">
        <v>406</v>
      </c>
      <c r="AK16" s="558">
        <v>1</v>
      </c>
      <c r="AL16" s="516">
        <v>1.07</v>
      </c>
      <c r="AM16" s="559">
        <f>AM15*1000</f>
        <v>6175</v>
      </c>
      <c r="AN16" s="559">
        <f t="shared" ref="AN16:AY16" si="4">AN15*1000</f>
        <v>6000</v>
      </c>
      <c r="AO16" s="559">
        <f t="shared" si="4"/>
        <v>8300</v>
      </c>
      <c r="AP16" s="559">
        <f t="shared" si="4"/>
        <v>4120</v>
      </c>
      <c r="AQ16" s="559">
        <f t="shared" si="4"/>
        <v>3200</v>
      </c>
      <c r="AR16" s="559">
        <f t="shared" si="4"/>
        <v>6830</v>
      </c>
      <c r="AS16" s="559">
        <f t="shared" si="4"/>
        <v>6790</v>
      </c>
      <c r="AT16" s="559">
        <f t="shared" si="4"/>
        <v>6940</v>
      </c>
      <c r="AU16" s="559">
        <f t="shared" si="4"/>
        <v>3510</v>
      </c>
      <c r="AV16" s="559">
        <f t="shared" si="4"/>
        <v>2550</v>
      </c>
      <c r="AW16" s="559">
        <f t="shared" si="4"/>
        <v>3500</v>
      </c>
      <c r="AX16" s="559">
        <f t="shared" si="4"/>
        <v>4350</v>
      </c>
      <c r="AY16" s="560">
        <f t="shared" si="4"/>
        <v>5770</v>
      </c>
      <c r="AZ16" s="561"/>
      <c r="BA16" s="24"/>
      <c r="BB16" s="24"/>
      <c r="BC16" s="533"/>
      <c r="BD16" s="24"/>
      <c r="BE16" s="24" t="s">
        <v>58</v>
      </c>
    </row>
    <row r="17" spans="2:57" ht="15.6" x14ac:dyDescent="0.3">
      <c r="B17" s="401" t="s">
        <v>407</v>
      </c>
      <c r="C17" t="s">
        <v>408</v>
      </c>
      <c r="D17" t="s">
        <v>361</v>
      </c>
      <c r="I17" s="401" t="s">
        <v>409</v>
      </c>
      <c r="J17" s="401" t="s">
        <v>410</v>
      </c>
      <c r="K17" s="451">
        <v>4.08E-4</v>
      </c>
      <c r="L17" s="401" t="s">
        <v>58</v>
      </c>
      <c r="M17" s="401"/>
      <c r="Q17" s="488"/>
      <c r="R17" s="452" t="s">
        <v>411</v>
      </c>
      <c r="S17" s="3"/>
      <c r="T17" s="3"/>
      <c r="U17" s="3"/>
      <c r="V17" s="3"/>
      <c r="W17" s="275"/>
      <c r="X17" s="280">
        <v>12.6</v>
      </c>
      <c r="Y17" s="3"/>
      <c r="Z17" s="3"/>
      <c r="AA17" s="275"/>
      <c r="AB17" s="280"/>
      <c r="AC17" s="3">
        <v>194</v>
      </c>
      <c r="AD17" s="280">
        <v>194</v>
      </c>
      <c r="AE17" s="280"/>
      <c r="AF17" s="50" t="s">
        <v>58</v>
      </c>
      <c r="AI17" s="29" t="s">
        <v>338</v>
      </c>
      <c r="AJ17" s="530" t="s">
        <v>412</v>
      </c>
      <c r="AK17" s="519" t="s">
        <v>339</v>
      </c>
      <c r="AL17" s="531" t="s">
        <v>340</v>
      </c>
      <c r="AM17" s="496" t="s">
        <v>327</v>
      </c>
      <c r="AN17" s="496" t="s">
        <v>328</v>
      </c>
      <c r="AO17" s="496" t="s">
        <v>329</v>
      </c>
      <c r="AP17" s="496" t="s">
        <v>330</v>
      </c>
      <c r="AQ17" s="496" t="s">
        <v>331</v>
      </c>
      <c r="AR17" s="496" t="s">
        <v>332</v>
      </c>
      <c r="AS17" s="496" t="s">
        <v>333</v>
      </c>
      <c r="AT17" s="496" t="s">
        <v>334</v>
      </c>
      <c r="AU17" s="496" t="s">
        <v>341</v>
      </c>
      <c r="AV17" s="496" t="s">
        <v>342</v>
      </c>
      <c r="AW17" s="496" t="s">
        <v>343</v>
      </c>
      <c r="AX17" s="496" t="s">
        <v>344</v>
      </c>
      <c r="AY17" s="496" t="s">
        <v>337</v>
      </c>
      <c r="AZ17" s="483" t="s">
        <v>222</v>
      </c>
      <c r="BA17" s="234" t="s">
        <v>345</v>
      </c>
      <c r="BB17" s="234" t="s">
        <v>346</v>
      </c>
      <c r="BC17" s="356" t="s">
        <v>347</v>
      </c>
      <c r="BD17" s="234" t="s">
        <v>348</v>
      </c>
      <c r="BE17" s="253" t="s">
        <v>55</v>
      </c>
    </row>
    <row r="18" spans="2:57" x14ac:dyDescent="0.3">
      <c r="B18" s="401" t="s">
        <v>413</v>
      </c>
      <c r="C18" t="s">
        <v>414</v>
      </c>
      <c r="D18" t="s">
        <v>361</v>
      </c>
      <c r="I18" s="401"/>
      <c r="J18" s="401" t="s">
        <v>415</v>
      </c>
      <c r="K18" s="451">
        <v>7.4399999999999998E-4</v>
      </c>
      <c r="L18" s="401" t="s">
        <v>58</v>
      </c>
      <c r="M18" s="401"/>
      <c r="Q18" s="487" t="s">
        <v>416</v>
      </c>
      <c r="R18" s="452" t="s">
        <v>366</v>
      </c>
      <c r="S18" s="3"/>
      <c r="T18" s="3"/>
      <c r="U18" s="3"/>
      <c r="V18" s="3">
        <v>4.3</v>
      </c>
      <c r="W18" s="275"/>
      <c r="X18" s="280"/>
      <c r="Y18" s="3"/>
      <c r="Z18" s="3"/>
      <c r="AA18" s="275"/>
      <c r="AB18" s="280">
        <v>8.8000000000000007</v>
      </c>
      <c r="AC18" s="3"/>
      <c r="AD18" s="280"/>
      <c r="AE18" s="280">
        <v>25.8</v>
      </c>
      <c r="AF18" s="50" t="s">
        <v>58</v>
      </c>
      <c r="AJ18" s="518" t="s">
        <v>417</v>
      </c>
      <c r="AK18" s="547">
        <v>2.0777799999999999E-2</v>
      </c>
      <c r="AL18" s="519"/>
      <c r="AM18" s="520"/>
      <c r="AN18" s="323"/>
      <c r="AO18" s="323"/>
      <c r="AP18" s="323"/>
      <c r="AQ18" s="323"/>
      <c r="AR18" s="323"/>
      <c r="AS18" s="323"/>
      <c r="AT18" s="323"/>
      <c r="AU18" s="323"/>
      <c r="AV18" s="323"/>
      <c r="AW18" s="323"/>
      <c r="AX18" s="323"/>
      <c r="AY18" s="521"/>
      <c r="BC18" s="335"/>
      <c r="BE18" t="s">
        <v>58</v>
      </c>
    </row>
    <row r="19" spans="2:57" x14ac:dyDescent="0.3">
      <c r="B19" s="1" t="s">
        <v>418</v>
      </c>
      <c r="C19" s="1"/>
      <c r="D19" s="1"/>
      <c r="J19" s="78" t="s">
        <v>419</v>
      </c>
      <c r="K19" s="476">
        <v>6.8000000000000005E-4</v>
      </c>
      <c r="L19" s="78" t="s">
        <v>351</v>
      </c>
      <c r="M19" s="78"/>
      <c r="Q19" s="487"/>
      <c r="R19" s="452" t="s">
        <v>116</v>
      </c>
      <c r="S19" s="3"/>
      <c r="T19" s="3"/>
      <c r="U19" s="3"/>
      <c r="V19" s="3"/>
      <c r="W19" s="275"/>
      <c r="X19" s="280"/>
      <c r="Y19" s="3"/>
      <c r="Z19" s="3"/>
      <c r="AA19" s="275"/>
      <c r="AB19" s="280">
        <v>4.4000000000000004</v>
      </c>
      <c r="AC19" s="3"/>
      <c r="AD19" s="280"/>
      <c r="AE19" s="280">
        <v>12.9</v>
      </c>
      <c r="AF19" s="299" t="s">
        <v>58</v>
      </c>
      <c r="AJ19" s="522" t="s">
        <v>420</v>
      </c>
      <c r="AK19" s="503">
        <v>5.0396000000000008E-3</v>
      </c>
      <c r="AL19" s="517"/>
      <c r="AM19" s="298"/>
      <c r="AY19" s="523"/>
      <c r="BC19" s="335"/>
      <c r="BE19" t="s">
        <v>58</v>
      </c>
    </row>
    <row r="20" spans="2:57" x14ac:dyDescent="0.3">
      <c r="B20" s="401" t="s">
        <v>421</v>
      </c>
      <c r="C20" t="s">
        <v>422</v>
      </c>
      <c r="D20" t="s">
        <v>361</v>
      </c>
      <c r="J20" s="7" t="s">
        <v>423</v>
      </c>
      <c r="K20" s="239">
        <v>9.52</v>
      </c>
      <c r="L20" t="s">
        <v>70</v>
      </c>
      <c r="Q20" s="487"/>
      <c r="R20" s="452" t="s">
        <v>375</v>
      </c>
      <c r="S20" s="3"/>
      <c r="T20" s="3"/>
      <c r="U20" s="3"/>
      <c r="V20" s="3"/>
      <c r="W20" s="275"/>
      <c r="X20" s="280"/>
      <c r="Y20" s="3"/>
      <c r="Z20" s="3"/>
      <c r="AA20" s="275"/>
      <c r="AB20" s="280">
        <v>4.4000000000000004</v>
      </c>
      <c r="AC20" s="3"/>
      <c r="AD20" s="280"/>
      <c r="AE20" s="280"/>
      <c r="AF20" s="299" t="s">
        <v>58</v>
      </c>
      <c r="AJ20" s="524" t="s">
        <v>424</v>
      </c>
      <c r="AK20" s="548">
        <v>0.74566962000000003</v>
      </c>
      <c r="AL20" s="517"/>
      <c r="AM20" s="298"/>
      <c r="AY20" s="523"/>
      <c r="BC20" s="335"/>
      <c r="BE20" t="s">
        <v>58</v>
      </c>
    </row>
    <row r="21" spans="2:57" x14ac:dyDescent="0.3">
      <c r="B21" s="1" t="s">
        <v>425</v>
      </c>
      <c r="C21" s="1"/>
      <c r="D21" s="1"/>
      <c r="J21" t="s">
        <v>373</v>
      </c>
      <c r="K21" s="239">
        <v>7.2300000000000001E-4</v>
      </c>
      <c r="L21" t="s">
        <v>374</v>
      </c>
      <c r="Q21" s="489"/>
      <c r="R21" s="493" t="s">
        <v>426</v>
      </c>
      <c r="S21" s="209"/>
      <c r="T21" s="209"/>
      <c r="U21" s="209"/>
      <c r="V21" s="209"/>
      <c r="W21" s="277">
        <v>400</v>
      </c>
      <c r="X21" s="282">
        <v>9418</v>
      </c>
      <c r="Y21" s="209"/>
      <c r="Z21" s="209"/>
      <c r="AA21" s="277"/>
      <c r="AB21" s="282"/>
      <c r="AC21" s="209"/>
      <c r="AD21" s="282"/>
      <c r="AE21" s="282"/>
      <c r="AF21" s="269" t="s">
        <v>58</v>
      </c>
      <c r="AJ21" s="525" t="s">
        <v>427</v>
      </c>
      <c r="AK21" s="549" t="s">
        <v>428</v>
      </c>
      <c r="AL21" s="517"/>
      <c r="AM21" s="298"/>
      <c r="AY21" s="523"/>
      <c r="BC21" s="335"/>
      <c r="BE21" t="s">
        <v>58</v>
      </c>
    </row>
    <row r="22" spans="2:57" x14ac:dyDescent="0.3">
      <c r="B22" s="443" t="s">
        <v>429</v>
      </c>
      <c r="C22" t="s">
        <v>430</v>
      </c>
      <c r="D22" t="s">
        <v>361</v>
      </c>
      <c r="I22" t="s">
        <v>431</v>
      </c>
      <c r="J22" t="s">
        <v>376</v>
      </c>
      <c r="K22" s="239">
        <v>7.3499999999999998E-4</v>
      </c>
      <c r="L22" t="s">
        <v>76</v>
      </c>
      <c r="Q22" s="490" t="s">
        <v>409</v>
      </c>
      <c r="R22" s="50" t="s">
        <v>432</v>
      </c>
      <c r="S22" s="494">
        <v>9</v>
      </c>
      <c r="T22" s="494"/>
      <c r="U22" s="494">
        <v>0.2</v>
      </c>
      <c r="V22" s="494"/>
      <c r="W22" s="275"/>
      <c r="X22" s="280">
        <v>0.13</v>
      </c>
      <c r="Y22" s="3">
        <v>1.5</v>
      </c>
      <c r="Z22" s="3"/>
      <c r="AA22" s="275"/>
      <c r="AB22" s="280"/>
      <c r="AC22" s="3"/>
      <c r="AD22" s="280"/>
      <c r="AE22" s="280"/>
      <c r="AF22" s="50" t="s">
        <v>58</v>
      </c>
      <c r="AJ22" s="522" t="s">
        <v>433</v>
      </c>
      <c r="AK22" s="550">
        <v>3.8585299999999996E-2</v>
      </c>
      <c r="AL22" s="517"/>
      <c r="AM22" s="298"/>
      <c r="AY22" s="523"/>
      <c r="BC22" s="335"/>
      <c r="BE22" t="s">
        <v>58</v>
      </c>
    </row>
    <row r="23" spans="2:57" x14ac:dyDescent="0.3">
      <c r="B23" s="442" t="s">
        <v>434</v>
      </c>
      <c r="C23" t="s">
        <v>435</v>
      </c>
      <c r="D23" t="s">
        <v>361</v>
      </c>
      <c r="J23" s="477" t="s">
        <v>436</v>
      </c>
      <c r="K23" s="478">
        <v>2.8400000000000001E-3</v>
      </c>
      <c r="L23" s="477" t="s">
        <v>70</v>
      </c>
      <c r="M23" s="664" t="s">
        <v>437</v>
      </c>
      <c r="N23" s="664"/>
      <c r="Q23" s="491"/>
      <c r="R23" s="299" t="s">
        <v>438</v>
      </c>
      <c r="S23" s="494"/>
      <c r="T23" s="494"/>
      <c r="U23" s="494"/>
      <c r="V23" s="494"/>
      <c r="W23" s="300"/>
      <c r="X23" s="301"/>
      <c r="Y23" s="302"/>
      <c r="Z23" s="302"/>
      <c r="AA23" s="300"/>
      <c r="AB23" s="301"/>
      <c r="AC23" s="302">
        <v>373</v>
      </c>
      <c r="AD23" s="301">
        <v>249</v>
      </c>
      <c r="AE23" s="301"/>
      <c r="AF23" s="299" t="s">
        <v>88</v>
      </c>
      <c r="AJ23" s="526" t="s">
        <v>439</v>
      </c>
      <c r="AK23" s="551" t="s">
        <v>440</v>
      </c>
      <c r="AL23" s="517"/>
      <c r="AM23" s="298"/>
      <c r="AY23" s="523"/>
      <c r="BC23" s="335"/>
      <c r="BE23" t="s">
        <v>58</v>
      </c>
    </row>
    <row r="24" spans="2:57" x14ac:dyDescent="0.3">
      <c r="B24" s="1" t="s">
        <v>441</v>
      </c>
      <c r="C24" s="1"/>
      <c r="D24" s="1"/>
      <c r="I24" t="s">
        <v>442</v>
      </c>
      <c r="J24" s="477" t="s">
        <v>436</v>
      </c>
      <c r="K24" s="478">
        <v>2.96E-3</v>
      </c>
      <c r="L24" s="477" t="s">
        <v>70</v>
      </c>
      <c r="M24" s="479">
        <f>(K23+K24)*0.85</f>
        <v>4.9299999999999995E-3</v>
      </c>
      <c r="N24" s="477" t="s">
        <v>361</v>
      </c>
      <c r="R24" s="50" t="s">
        <v>434</v>
      </c>
      <c r="S24" s="494">
        <v>1.44</v>
      </c>
      <c r="T24" s="494"/>
      <c r="U24" s="494">
        <v>2.34</v>
      </c>
      <c r="V24" s="494">
        <v>1.2</v>
      </c>
      <c r="W24" s="275"/>
      <c r="X24" s="280">
        <v>1.35</v>
      </c>
      <c r="Y24" s="3"/>
      <c r="Z24" s="3"/>
      <c r="AA24" s="275">
        <v>1.07</v>
      </c>
      <c r="AB24" s="280">
        <v>1.1599999999999999</v>
      </c>
      <c r="AC24" s="3">
        <v>1.84</v>
      </c>
      <c r="AD24" s="280">
        <v>1.83</v>
      </c>
      <c r="AE24" s="280"/>
      <c r="AF24" s="50" t="s">
        <v>58</v>
      </c>
      <c r="AJ24" s="526" t="s">
        <v>443</v>
      </c>
      <c r="AK24" s="551" t="s">
        <v>444</v>
      </c>
      <c r="AL24" s="517"/>
      <c r="AM24" s="298"/>
      <c r="AY24" s="523"/>
      <c r="BC24" s="335"/>
      <c r="BE24" t="s">
        <v>58</v>
      </c>
    </row>
    <row r="25" spans="2:57" ht="28.8" x14ac:dyDescent="0.3">
      <c r="B25" s="443" t="s">
        <v>445</v>
      </c>
      <c r="C25" t="s">
        <v>446</v>
      </c>
      <c r="D25" t="s">
        <v>361</v>
      </c>
      <c r="J25" s="50" t="s">
        <v>447</v>
      </c>
      <c r="K25" s="480">
        <v>8.5700000000000001E-4</v>
      </c>
      <c r="L25" s="50" t="s">
        <v>374</v>
      </c>
      <c r="R25" s="299" t="s">
        <v>448</v>
      </c>
      <c r="S25" s="494"/>
      <c r="T25" s="494"/>
      <c r="U25" s="494"/>
      <c r="V25" s="494"/>
      <c r="W25" s="300"/>
      <c r="X25" s="301"/>
      <c r="Y25" s="302"/>
      <c r="Z25" s="302"/>
      <c r="AA25" s="300"/>
      <c r="AB25" s="301"/>
      <c r="AC25" s="302">
        <v>15.5</v>
      </c>
      <c r="AD25" s="301">
        <v>7.77</v>
      </c>
      <c r="AE25" s="301"/>
      <c r="AF25" s="299" t="s">
        <v>88</v>
      </c>
      <c r="AJ25" s="527" t="s">
        <v>449</v>
      </c>
      <c r="AK25" s="551" t="s">
        <v>450</v>
      </c>
      <c r="AL25" s="528"/>
      <c r="AM25" s="339"/>
      <c r="AN25" s="210"/>
      <c r="AO25" s="210"/>
      <c r="AP25" s="210"/>
      <c r="AQ25" s="210"/>
      <c r="AR25" s="210"/>
      <c r="AS25" s="210"/>
      <c r="AT25" s="210"/>
      <c r="AU25" s="210"/>
      <c r="AV25" s="210"/>
      <c r="AW25" s="210"/>
      <c r="AX25" s="210"/>
      <c r="AY25" s="529"/>
      <c r="AZ25" s="210"/>
      <c r="BA25" s="210"/>
      <c r="BB25" s="210"/>
      <c r="BC25" s="382"/>
      <c r="BD25" s="210"/>
      <c r="BE25" s="210" t="s">
        <v>58</v>
      </c>
    </row>
    <row r="26" spans="2:57" x14ac:dyDescent="0.3">
      <c r="B26" s="443" t="s">
        <v>451</v>
      </c>
      <c r="C26" t="s">
        <v>452</v>
      </c>
      <c r="D26" t="s">
        <v>361</v>
      </c>
      <c r="I26" s="626" t="s">
        <v>453</v>
      </c>
      <c r="J26" s="80"/>
      <c r="K26" s="240"/>
      <c r="L26" s="80"/>
      <c r="M26" s="80"/>
      <c r="N26" s="80"/>
      <c r="R26" s="299" t="s">
        <v>454</v>
      </c>
      <c r="S26" s="494"/>
      <c r="T26" s="494"/>
      <c r="U26" s="494"/>
      <c r="V26" s="494"/>
      <c r="W26" s="300"/>
      <c r="X26" s="301"/>
      <c r="Y26" s="302"/>
      <c r="Z26" s="302"/>
      <c r="AA26" s="300">
        <v>2.29</v>
      </c>
      <c r="AB26" s="301">
        <v>34.5</v>
      </c>
      <c r="AC26" s="302">
        <v>72.5</v>
      </c>
      <c r="AD26" s="301">
        <v>15.5</v>
      </c>
      <c r="AE26" s="301"/>
      <c r="AF26" s="299" t="s">
        <v>88</v>
      </c>
      <c r="AJ26" s="7" t="s">
        <v>455</v>
      </c>
      <c r="AK26" s="564"/>
      <c r="AL26" s="566"/>
      <c r="AM26" s="3">
        <f t="shared" ref="AM26:AY26" si="5">0.04*AM16</f>
        <v>247</v>
      </c>
      <c r="AN26" s="3">
        <f t="shared" si="5"/>
        <v>240</v>
      </c>
      <c r="AO26" s="3">
        <f t="shared" si="5"/>
        <v>332</v>
      </c>
      <c r="AP26" s="3">
        <f t="shared" si="5"/>
        <v>164.8</v>
      </c>
      <c r="AQ26" s="3">
        <f t="shared" si="5"/>
        <v>128</v>
      </c>
      <c r="AR26" s="3">
        <f t="shared" si="5"/>
        <v>273.2</v>
      </c>
      <c r="AS26" s="3">
        <f t="shared" si="5"/>
        <v>271.60000000000002</v>
      </c>
      <c r="AT26" s="3">
        <f t="shared" si="5"/>
        <v>277.60000000000002</v>
      </c>
      <c r="AU26" s="3">
        <f t="shared" si="5"/>
        <v>140.4</v>
      </c>
      <c r="AV26" s="3">
        <f t="shared" si="5"/>
        <v>102</v>
      </c>
      <c r="AW26" s="3">
        <f t="shared" si="5"/>
        <v>140</v>
      </c>
      <c r="AX26" s="3">
        <f t="shared" si="5"/>
        <v>174</v>
      </c>
      <c r="AY26" s="3">
        <f t="shared" si="5"/>
        <v>230.8</v>
      </c>
      <c r="BE26" t="s">
        <v>58</v>
      </c>
    </row>
    <row r="27" spans="2:57" x14ac:dyDescent="0.3">
      <c r="B27" s="401" t="s">
        <v>456</v>
      </c>
      <c r="C27" t="s">
        <v>457</v>
      </c>
      <c r="D27" t="s">
        <v>361</v>
      </c>
      <c r="I27" s="84" t="s">
        <v>458</v>
      </c>
      <c r="J27" s="80"/>
      <c r="K27" s="240"/>
      <c r="L27" s="80"/>
      <c r="M27" s="80"/>
      <c r="N27" s="80"/>
      <c r="R27" s="50" t="s">
        <v>421</v>
      </c>
      <c r="S27" s="494">
        <v>0.95</v>
      </c>
      <c r="T27" s="494">
        <v>2.23</v>
      </c>
      <c r="U27" s="494">
        <v>1.5</v>
      </c>
      <c r="V27" s="494">
        <v>1.24</v>
      </c>
      <c r="W27" s="275">
        <v>0.6</v>
      </c>
      <c r="X27" s="280"/>
      <c r="Y27" s="3"/>
      <c r="Z27" s="3">
        <v>1</v>
      </c>
      <c r="AA27" s="275">
        <v>1.48</v>
      </c>
      <c r="AB27" s="280">
        <v>1.06</v>
      </c>
      <c r="AC27" s="3">
        <v>1.43</v>
      </c>
      <c r="AD27" s="280"/>
      <c r="AE27" s="280">
        <v>2.71</v>
      </c>
      <c r="AF27" s="50" t="s">
        <v>58</v>
      </c>
      <c r="AJ27" s="343" t="s">
        <v>459</v>
      </c>
      <c r="AK27" s="565"/>
      <c r="AL27" s="567"/>
      <c r="AM27" s="209">
        <f t="shared" ref="AM27:AY27" si="6">0.13*AM16</f>
        <v>802.75</v>
      </c>
      <c r="AN27" s="209">
        <f t="shared" si="6"/>
        <v>780</v>
      </c>
      <c r="AO27" s="209">
        <f t="shared" si="6"/>
        <v>1079</v>
      </c>
      <c r="AP27" s="209">
        <f t="shared" si="6"/>
        <v>535.6</v>
      </c>
      <c r="AQ27" s="209">
        <f t="shared" si="6"/>
        <v>416</v>
      </c>
      <c r="AR27" s="209">
        <f t="shared" si="6"/>
        <v>887.9</v>
      </c>
      <c r="AS27" s="209">
        <f t="shared" si="6"/>
        <v>882.7</v>
      </c>
      <c r="AT27" s="209">
        <f t="shared" si="6"/>
        <v>902.2</v>
      </c>
      <c r="AU27" s="209">
        <f t="shared" si="6"/>
        <v>456.3</v>
      </c>
      <c r="AV27" s="209">
        <f t="shared" si="6"/>
        <v>331.5</v>
      </c>
      <c r="AW27" s="209">
        <f t="shared" si="6"/>
        <v>455</v>
      </c>
      <c r="AX27" s="209">
        <f t="shared" si="6"/>
        <v>565.5</v>
      </c>
      <c r="AY27" s="209">
        <f t="shared" si="6"/>
        <v>750.1</v>
      </c>
      <c r="AZ27" s="210"/>
      <c r="BA27" s="210"/>
      <c r="BB27" s="210"/>
      <c r="BC27" s="210"/>
      <c r="BD27" s="210"/>
      <c r="BE27" s="210" t="s">
        <v>58</v>
      </c>
    </row>
    <row r="28" spans="2:57" x14ac:dyDescent="0.3">
      <c r="B28" s="444" t="s">
        <v>460</v>
      </c>
      <c r="C28" s="1"/>
      <c r="D28" s="1"/>
      <c r="I28" s="80" t="s">
        <v>461</v>
      </c>
      <c r="J28" s="80"/>
      <c r="K28" s="240"/>
      <c r="L28" s="80"/>
      <c r="M28" s="80"/>
      <c r="N28" s="80"/>
      <c r="R28" s="50" t="s">
        <v>462</v>
      </c>
      <c r="S28" s="494">
        <v>50</v>
      </c>
      <c r="T28" s="494">
        <v>100</v>
      </c>
      <c r="U28" s="494">
        <v>50</v>
      </c>
      <c r="V28" s="494"/>
      <c r="W28" s="275">
        <v>170</v>
      </c>
      <c r="X28" s="280"/>
      <c r="Y28" s="3"/>
      <c r="Z28" s="3"/>
      <c r="AA28" s="275">
        <v>172</v>
      </c>
      <c r="AB28" s="280">
        <v>264</v>
      </c>
      <c r="AC28" s="3">
        <v>77.8</v>
      </c>
      <c r="AD28" s="280">
        <v>64.8</v>
      </c>
      <c r="AE28" s="280">
        <v>400</v>
      </c>
      <c r="AF28" s="50" t="s">
        <v>88</v>
      </c>
    </row>
    <row r="29" spans="2:57" x14ac:dyDescent="0.3">
      <c r="B29" s="445" t="s">
        <v>463</v>
      </c>
      <c r="C29" t="s">
        <v>464</v>
      </c>
      <c r="D29" t="s">
        <v>361</v>
      </c>
      <c r="I29" t="s">
        <v>465</v>
      </c>
      <c r="J29" t="s">
        <v>466</v>
      </c>
      <c r="R29" s="50" t="s">
        <v>467</v>
      </c>
      <c r="S29" s="494">
        <v>60</v>
      </c>
      <c r="T29" s="494"/>
      <c r="U29" s="494">
        <v>60</v>
      </c>
      <c r="V29" s="494"/>
      <c r="W29" s="275"/>
      <c r="X29" s="280"/>
      <c r="Y29" s="3"/>
      <c r="Z29" s="3"/>
      <c r="AA29" s="275"/>
      <c r="AB29" s="280"/>
      <c r="AC29" s="3"/>
      <c r="AD29" s="280"/>
      <c r="AE29" s="280"/>
      <c r="AF29" s="50" t="s">
        <v>88</v>
      </c>
    </row>
    <row r="30" spans="2:57" x14ac:dyDescent="0.3">
      <c r="B30" s="445" t="s">
        <v>468</v>
      </c>
      <c r="C30" t="s">
        <v>469</v>
      </c>
      <c r="D30" t="s">
        <v>361</v>
      </c>
      <c r="J30" t="s">
        <v>470</v>
      </c>
      <c r="R30" s="299" t="s">
        <v>471</v>
      </c>
      <c r="S30" s="494"/>
      <c r="T30" s="494"/>
      <c r="U30" s="494"/>
      <c r="V30" s="494"/>
      <c r="W30" s="300"/>
      <c r="X30" s="301"/>
      <c r="Y30" s="302"/>
      <c r="Z30" s="302"/>
      <c r="AA30" s="300"/>
      <c r="AB30" s="301"/>
      <c r="AC30" s="302">
        <v>635</v>
      </c>
      <c r="AD30" s="301">
        <v>544</v>
      </c>
      <c r="AE30" s="301"/>
      <c r="AF30" s="299" t="s">
        <v>88</v>
      </c>
    </row>
    <row r="31" spans="2:57" x14ac:dyDescent="0.3">
      <c r="B31" s="446" t="s">
        <v>472</v>
      </c>
      <c r="C31" t="s">
        <v>473</v>
      </c>
      <c r="D31" t="s">
        <v>361</v>
      </c>
      <c r="J31" t="s">
        <v>474</v>
      </c>
      <c r="R31" s="50" t="s">
        <v>475</v>
      </c>
      <c r="S31" s="494">
        <v>440</v>
      </c>
      <c r="T31" s="494"/>
      <c r="U31" s="494">
        <v>480</v>
      </c>
      <c r="V31" s="494"/>
      <c r="W31" s="275"/>
      <c r="X31" s="280"/>
      <c r="Y31" s="3"/>
      <c r="Z31" s="3"/>
      <c r="AA31" s="275"/>
      <c r="AB31" s="280"/>
      <c r="AC31" s="3"/>
      <c r="AD31" s="280"/>
      <c r="AE31" s="280"/>
      <c r="AF31" s="50" t="s">
        <v>361</v>
      </c>
    </row>
    <row r="32" spans="2:57" x14ac:dyDescent="0.3">
      <c r="B32" t="s">
        <v>370</v>
      </c>
      <c r="C32" t="s">
        <v>476</v>
      </c>
      <c r="D32" t="s">
        <v>361</v>
      </c>
      <c r="R32" s="299" t="s">
        <v>477</v>
      </c>
      <c r="S32" s="494"/>
      <c r="T32" s="494"/>
      <c r="U32" s="494"/>
      <c r="V32" s="494"/>
      <c r="W32" s="300"/>
      <c r="X32" s="301"/>
      <c r="Y32" s="302"/>
      <c r="Z32" s="302"/>
      <c r="AA32" s="300"/>
      <c r="AB32" s="301"/>
      <c r="AC32" s="302"/>
      <c r="AD32" s="301">
        <v>13</v>
      </c>
      <c r="AE32" s="301"/>
      <c r="AF32" s="299" t="s">
        <v>88</v>
      </c>
    </row>
    <row r="33" spans="1:32" x14ac:dyDescent="0.3">
      <c r="B33" s="19" t="s">
        <v>388</v>
      </c>
      <c r="C33" t="s">
        <v>389</v>
      </c>
      <c r="D33" t="s">
        <v>390</v>
      </c>
      <c r="I33" s="100" t="s">
        <v>478</v>
      </c>
      <c r="J33" s="100"/>
      <c r="K33" s="436"/>
      <c r="L33" s="100"/>
      <c r="M33" s="100"/>
      <c r="N33" s="100"/>
      <c r="R33" s="299" t="s">
        <v>479</v>
      </c>
      <c r="S33" s="494"/>
      <c r="T33" s="494"/>
      <c r="U33" s="494"/>
      <c r="V33" s="494"/>
      <c r="W33" s="300"/>
      <c r="X33" s="301"/>
      <c r="Y33" s="302"/>
      <c r="Z33" s="302"/>
      <c r="AA33" s="300"/>
      <c r="AB33" s="301"/>
      <c r="AC33" s="302">
        <v>20.5</v>
      </c>
      <c r="AD33" s="301">
        <v>34.200000000000003</v>
      </c>
      <c r="AE33" s="301"/>
      <c r="AF33" s="299" t="s">
        <v>35</v>
      </c>
    </row>
    <row r="34" spans="1:32" x14ac:dyDescent="0.3">
      <c r="B34" s="19" t="s">
        <v>395</v>
      </c>
      <c r="C34" t="s">
        <v>396</v>
      </c>
      <c r="D34" t="s">
        <v>390</v>
      </c>
      <c r="R34" s="50" t="s">
        <v>480</v>
      </c>
      <c r="S34" s="494"/>
      <c r="T34" s="494"/>
      <c r="U34" s="494"/>
      <c r="V34" s="494">
        <v>0.22</v>
      </c>
      <c r="W34" s="275">
        <v>0.6</v>
      </c>
      <c r="X34" s="280">
        <v>2.7</v>
      </c>
      <c r="Y34" s="3">
        <v>0.98</v>
      </c>
      <c r="Z34" s="3">
        <v>2.1</v>
      </c>
      <c r="AA34" s="275"/>
      <c r="AB34" s="280"/>
      <c r="AC34" s="3"/>
      <c r="AD34" s="280"/>
      <c r="AE34" s="280"/>
      <c r="AF34" s="50" t="s">
        <v>361</v>
      </c>
    </row>
    <row r="35" spans="1:32" x14ac:dyDescent="0.3">
      <c r="B35" s="397" t="s">
        <v>481</v>
      </c>
      <c r="C35" s="448">
        <f>C27+C26+C25+C23+C22+C20+C18+C17+C15+C13+C12+C10</f>
        <v>5.6043999999999997E-2</v>
      </c>
      <c r="D35" s="401" t="s">
        <v>58</v>
      </c>
      <c r="E35" s="401"/>
      <c r="R35" s="108" t="s">
        <v>482</v>
      </c>
      <c r="S35" s="494"/>
      <c r="T35" s="494">
        <v>1.5</v>
      </c>
      <c r="U35" s="494"/>
      <c r="V35" s="494">
        <v>0.53</v>
      </c>
      <c r="W35" s="275">
        <v>0.45</v>
      </c>
      <c r="X35" s="280"/>
      <c r="Y35" s="3">
        <v>0.98</v>
      </c>
      <c r="Z35" s="3"/>
      <c r="AA35" s="310">
        <f>69*0.001</f>
        <v>6.9000000000000006E-2</v>
      </c>
      <c r="AB35" s="280"/>
      <c r="AC35" s="131">
        <f>311*0.001</f>
        <v>0.311</v>
      </c>
      <c r="AD35" s="280"/>
      <c r="AE35" s="280"/>
      <c r="AF35" s="108" t="s">
        <v>361</v>
      </c>
    </row>
    <row r="36" spans="1:32" x14ac:dyDescent="0.3">
      <c r="B36" s="447" t="s">
        <v>483</v>
      </c>
      <c r="C36" s="449">
        <f>C29+C30+C31</f>
        <v>0.13539999999999999</v>
      </c>
      <c r="D36" t="s">
        <v>58</v>
      </c>
      <c r="R36" s="50" t="s">
        <v>410</v>
      </c>
      <c r="S36" s="494"/>
      <c r="T36" s="494"/>
      <c r="U36" s="494"/>
      <c r="V36" s="494"/>
      <c r="W36" s="275">
        <v>2.5</v>
      </c>
      <c r="X36" s="280">
        <v>13.6</v>
      </c>
      <c r="Y36" s="3">
        <v>78</v>
      </c>
      <c r="Z36" s="3"/>
      <c r="AA36" s="275">
        <v>5.0599999999999996</v>
      </c>
      <c r="AB36" s="280">
        <v>6.21</v>
      </c>
      <c r="AC36" s="3">
        <v>24.6</v>
      </c>
      <c r="AD36" s="280">
        <v>12.3</v>
      </c>
      <c r="AE36" s="280">
        <v>19.7</v>
      </c>
      <c r="AF36" s="50" t="s">
        <v>361</v>
      </c>
    </row>
    <row r="37" spans="1:32" x14ac:dyDescent="0.3">
      <c r="A37" s="7" t="s">
        <v>338</v>
      </c>
      <c r="B37" s="23" t="s">
        <v>83</v>
      </c>
      <c r="C37" s="17" t="s">
        <v>247</v>
      </c>
      <c r="D37" s="17" t="s">
        <v>55</v>
      </c>
      <c r="R37" s="50" t="s">
        <v>484</v>
      </c>
      <c r="S37" s="494"/>
      <c r="T37" s="494">
        <v>80</v>
      </c>
      <c r="U37" s="494"/>
      <c r="V37" s="494"/>
      <c r="W37" s="275"/>
      <c r="X37" s="280"/>
      <c r="Y37" s="3"/>
      <c r="Z37" s="3"/>
      <c r="AA37" s="275"/>
      <c r="AB37" s="280"/>
      <c r="AC37" s="3"/>
      <c r="AD37" s="280"/>
      <c r="AE37" s="280"/>
      <c r="AF37" s="50" t="s">
        <v>88</v>
      </c>
    </row>
    <row r="38" spans="1:32" x14ac:dyDescent="0.3">
      <c r="B38" s="24" t="s">
        <v>406</v>
      </c>
      <c r="C38" s="25">
        <v>1</v>
      </c>
      <c r="D38" s="24" t="s">
        <v>361</v>
      </c>
      <c r="E38" s="8"/>
      <c r="R38" s="50" t="s">
        <v>485</v>
      </c>
      <c r="S38" s="494"/>
      <c r="T38" s="494">
        <v>8</v>
      </c>
      <c r="U38" s="494"/>
      <c r="V38" s="494">
        <v>40</v>
      </c>
      <c r="W38" s="275"/>
      <c r="X38" s="280"/>
      <c r="Y38" s="3"/>
      <c r="Z38" s="3"/>
      <c r="AA38" s="275">
        <v>86.2</v>
      </c>
      <c r="AB38" s="280"/>
      <c r="AC38" s="3"/>
      <c r="AD38" s="280"/>
      <c r="AE38" s="280">
        <v>85.1</v>
      </c>
      <c r="AF38" s="50" t="s">
        <v>88</v>
      </c>
    </row>
    <row r="39" spans="1:32" ht="15.6" x14ac:dyDescent="0.3">
      <c r="A39" s="29" t="s">
        <v>338</v>
      </c>
      <c r="B39" s="30" t="s">
        <v>412</v>
      </c>
      <c r="C39" s="30" t="s">
        <v>247</v>
      </c>
      <c r="D39" s="30" t="s">
        <v>55</v>
      </c>
      <c r="E39" s="29"/>
      <c r="R39" s="50" t="s">
        <v>486</v>
      </c>
      <c r="S39" s="494"/>
      <c r="T39" s="494">
        <v>100</v>
      </c>
      <c r="U39" s="494"/>
      <c r="V39" s="494">
        <v>200</v>
      </c>
      <c r="W39" s="275"/>
      <c r="X39" s="280">
        <v>290</v>
      </c>
      <c r="Y39" s="3"/>
      <c r="Z39" s="3">
        <v>0.74</v>
      </c>
      <c r="AA39" s="275">
        <v>46</v>
      </c>
      <c r="AB39" s="280">
        <v>22.1</v>
      </c>
      <c r="AC39" s="3">
        <v>49.7</v>
      </c>
      <c r="AD39" s="280">
        <v>60.1</v>
      </c>
      <c r="AE39" s="280">
        <v>111</v>
      </c>
      <c r="AF39" s="50" t="s">
        <v>88</v>
      </c>
    </row>
    <row r="40" spans="1:32" x14ac:dyDescent="0.3">
      <c r="B40" s="466" t="s">
        <v>417</v>
      </c>
      <c r="C40" s="470">
        <f>C41+C42+C43+C44</f>
        <v>2.0777799999999999E-2</v>
      </c>
      <c r="D40" s="1"/>
      <c r="R40" s="50" t="s">
        <v>487</v>
      </c>
      <c r="S40" s="494"/>
      <c r="T40" s="494">
        <v>1.9</v>
      </c>
      <c r="U40" s="494"/>
      <c r="V40" s="494">
        <v>1.5</v>
      </c>
      <c r="W40" s="275"/>
      <c r="X40" s="280"/>
      <c r="Y40" s="3"/>
      <c r="Z40" s="3"/>
      <c r="AA40" s="275"/>
      <c r="AB40" s="280"/>
      <c r="AC40" s="3"/>
      <c r="AD40" s="280"/>
      <c r="AE40" s="280"/>
      <c r="AF40" s="50" t="s">
        <v>58</v>
      </c>
    </row>
    <row r="41" spans="1:32" x14ac:dyDescent="0.3">
      <c r="B41" s="446" t="s">
        <v>488</v>
      </c>
      <c r="C41" s="19" t="s">
        <v>489</v>
      </c>
      <c r="D41" s="18" t="s">
        <v>58</v>
      </c>
      <c r="E41" s="18"/>
      <c r="R41" s="50" t="s">
        <v>490</v>
      </c>
      <c r="S41" s="494"/>
      <c r="T41" s="494">
        <v>1</v>
      </c>
      <c r="U41" s="494"/>
      <c r="V41" s="494"/>
      <c r="W41" s="275"/>
      <c r="X41" s="280"/>
      <c r="Y41" s="3"/>
      <c r="Z41" s="3"/>
      <c r="AA41" s="275"/>
      <c r="AB41" s="280"/>
      <c r="AC41" s="3"/>
      <c r="AD41" s="280"/>
      <c r="AE41" s="280"/>
      <c r="AF41" s="50" t="s">
        <v>58</v>
      </c>
    </row>
    <row r="42" spans="1:32" x14ac:dyDescent="0.3">
      <c r="B42" s="446" t="s">
        <v>491</v>
      </c>
      <c r="C42" s="18" t="s">
        <v>492</v>
      </c>
      <c r="D42" s="18" t="s">
        <v>58</v>
      </c>
      <c r="E42" s="18"/>
      <c r="R42" s="50" t="s">
        <v>493</v>
      </c>
      <c r="S42" s="494"/>
      <c r="T42" s="494"/>
      <c r="U42" s="494"/>
      <c r="V42" s="494"/>
      <c r="W42" s="275"/>
      <c r="X42" s="280">
        <v>450</v>
      </c>
      <c r="Y42" s="3"/>
      <c r="Z42" s="3"/>
      <c r="AA42" s="275"/>
      <c r="AB42" s="280"/>
      <c r="AC42" s="3"/>
      <c r="AD42" s="280"/>
      <c r="AE42" s="280"/>
      <c r="AF42" s="50" t="s">
        <v>88</v>
      </c>
    </row>
    <row r="43" spans="1:32" x14ac:dyDescent="0.3">
      <c r="B43" s="445" t="s">
        <v>494</v>
      </c>
      <c r="C43" s="19" t="s">
        <v>495</v>
      </c>
      <c r="D43" s="18" t="s">
        <v>58</v>
      </c>
      <c r="E43" s="18"/>
      <c r="R43" s="50" t="s">
        <v>413</v>
      </c>
      <c r="S43" s="494"/>
      <c r="T43" s="494"/>
      <c r="U43" s="494">
        <v>40</v>
      </c>
      <c r="V43" s="494">
        <v>30</v>
      </c>
      <c r="W43" s="275">
        <v>30</v>
      </c>
      <c r="X43" s="280"/>
      <c r="Y43" s="3"/>
      <c r="Z43" s="3"/>
      <c r="AA43" s="275"/>
      <c r="AB43" s="280"/>
      <c r="AC43" s="3"/>
      <c r="AD43" s="280"/>
      <c r="AE43" s="280"/>
      <c r="AF43" s="50" t="s">
        <v>88</v>
      </c>
    </row>
    <row r="44" spans="1:32" x14ac:dyDescent="0.3">
      <c r="B44" s="445" t="s">
        <v>496</v>
      </c>
      <c r="C44" s="19" t="s">
        <v>497</v>
      </c>
      <c r="D44" s="18" t="s">
        <v>58</v>
      </c>
      <c r="E44" s="18"/>
      <c r="R44" s="50" t="s">
        <v>498</v>
      </c>
      <c r="S44" s="494"/>
      <c r="T44" s="494"/>
      <c r="U44" s="494"/>
      <c r="V44" s="494">
        <v>430</v>
      </c>
      <c r="W44" s="275"/>
      <c r="X44" s="280"/>
      <c r="Y44" s="3"/>
      <c r="Z44" s="3"/>
      <c r="AA44" s="275"/>
      <c r="AB44" s="280"/>
      <c r="AC44" s="3"/>
      <c r="AD44" s="280"/>
      <c r="AE44" s="280"/>
      <c r="AF44" s="50" t="s">
        <v>88</v>
      </c>
    </row>
    <row r="45" spans="1:32" x14ac:dyDescent="0.3">
      <c r="B45" s="466" t="s">
        <v>420</v>
      </c>
      <c r="C45" s="471">
        <f>C47+C49+C50+C52+C54+C55+C57+C59+C60+C62</f>
        <v>5.0396000000000008E-3</v>
      </c>
      <c r="D45" s="1"/>
      <c r="R45" s="50" t="s">
        <v>499</v>
      </c>
      <c r="S45" s="494"/>
      <c r="T45" s="494"/>
      <c r="U45" s="494"/>
      <c r="V45" s="494">
        <v>240</v>
      </c>
      <c r="W45" s="275"/>
      <c r="X45" s="280"/>
      <c r="Y45" s="3"/>
      <c r="Z45" s="3"/>
      <c r="AA45" s="275"/>
      <c r="AB45" s="280"/>
      <c r="AC45" s="3"/>
      <c r="AD45" s="280"/>
      <c r="AE45" s="280"/>
      <c r="AF45" s="50" t="s">
        <v>88</v>
      </c>
    </row>
    <row r="46" spans="1:32" x14ac:dyDescent="0.3">
      <c r="B46" s="467" t="s">
        <v>368</v>
      </c>
      <c r="C46" s="1"/>
      <c r="D46" s="1"/>
      <c r="R46" s="50" t="s">
        <v>500</v>
      </c>
      <c r="S46" s="494"/>
      <c r="T46" s="494"/>
      <c r="U46" s="494"/>
      <c r="V46" s="494">
        <v>170</v>
      </c>
      <c r="W46" s="275"/>
      <c r="X46" s="280"/>
      <c r="Y46" s="3"/>
      <c r="Z46" s="3"/>
      <c r="AA46" s="275"/>
      <c r="AB46" s="280"/>
      <c r="AC46" s="3">
        <v>453</v>
      </c>
      <c r="AD46" s="280">
        <v>259</v>
      </c>
      <c r="AE46" s="280"/>
      <c r="AF46" s="50" t="s">
        <v>88</v>
      </c>
    </row>
    <row r="47" spans="1:32" x14ac:dyDescent="0.3">
      <c r="B47" s="401" t="s">
        <v>501</v>
      </c>
      <c r="C47" s="19" t="s">
        <v>502</v>
      </c>
      <c r="D47" s="18" t="s">
        <v>58</v>
      </c>
      <c r="E47" s="18"/>
      <c r="R47" s="299" t="s">
        <v>503</v>
      </c>
      <c r="S47" s="494"/>
      <c r="T47" s="494"/>
      <c r="U47" s="494"/>
      <c r="V47" s="494"/>
      <c r="W47" s="275"/>
      <c r="X47" s="280"/>
      <c r="Y47" s="3"/>
      <c r="Z47" s="3"/>
      <c r="AA47" s="275"/>
      <c r="AB47" s="280"/>
      <c r="AC47" s="3"/>
      <c r="AD47" s="280"/>
      <c r="AE47" s="280"/>
      <c r="AF47" s="50"/>
    </row>
    <row r="48" spans="1:32" x14ac:dyDescent="0.3">
      <c r="B48" s="468" t="s">
        <v>377</v>
      </c>
      <c r="C48" s="1"/>
      <c r="D48" s="1"/>
      <c r="R48" s="50" t="s">
        <v>371</v>
      </c>
      <c r="S48" s="494"/>
      <c r="T48" s="494"/>
      <c r="U48" s="494"/>
      <c r="V48" s="494">
        <v>1.56</v>
      </c>
      <c r="W48" s="275"/>
      <c r="X48" s="280"/>
      <c r="Y48" s="3"/>
      <c r="Z48" s="3"/>
      <c r="AA48" s="275"/>
      <c r="AB48" s="280"/>
      <c r="AC48" s="3"/>
      <c r="AD48" s="280"/>
      <c r="AE48" s="280"/>
      <c r="AF48" s="50" t="s">
        <v>361</v>
      </c>
    </row>
    <row r="49" spans="2:32" x14ac:dyDescent="0.3">
      <c r="B49" s="401" t="s">
        <v>504</v>
      </c>
      <c r="C49" s="19" t="s">
        <v>505</v>
      </c>
      <c r="D49" s="18" t="s">
        <v>58</v>
      </c>
      <c r="E49" s="18"/>
      <c r="R49" s="50" t="s">
        <v>506</v>
      </c>
      <c r="S49" s="494"/>
      <c r="T49" s="494"/>
      <c r="U49" s="494"/>
      <c r="V49" s="494">
        <v>410</v>
      </c>
      <c r="W49" s="275"/>
      <c r="X49" s="280"/>
      <c r="Y49" s="3"/>
      <c r="Z49" s="3"/>
      <c r="AA49" s="275"/>
      <c r="AB49" s="280"/>
      <c r="AC49" s="3"/>
      <c r="AD49" s="280"/>
      <c r="AE49" s="280"/>
      <c r="AF49" s="50" t="s">
        <v>88</v>
      </c>
    </row>
    <row r="50" spans="2:32" x14ac:dyDescent="0.3">
      <c r="B50" s="401" t="s">
        <v>391</v>
      </c>
      <c r="C50" s="19" t="s">
        <v>507</v>
      </c>
      <c r="D50" s="18" t="s">
        <v>58</v>
      </c>
      <c r="E50" s="18"/>
      <c r="R50" t="s">
        <v>508</v>
      </c>
      <c r="S50" s="494"/>
      <c r="T50" s="494"/>
      <c r="U50" s="494"/>
      <c r="V50" s="494">
        <v>80</v>
      </c>
      <c r="W50" s="275"/>
      <c r="X50" s="280"/>
      <c r="Y50" s="3"/>
      <c r="Z50" s="3"/>
      <c r="AA50" s="275"/>
      <c r="AB50" s="280"/>
      <c r="AC50" s="3"/>
      <c r="AD50" s="280"/>
      <c r="AE50" s="280"/>
      <c r="AF50" s="50" t="s">
        <v>88</v>
      </c>
    </row>
    <row r="51" spans="2:32" x14ac:dyDescent="0.3">
      <c r="B51" s="468" t="s">
        <v>397</v>
      </c>
      <c r="C51" s="1"/>
      <c r="D51" s="1"/>
      <c r="G51" s="237"/>
      <c r="H51" s="19"/>
      <c r="R51" t="s">
        <v>509</v>
      </c>
      <c r="S51" s="494"/>
      <c r="T51" s="494"/>
      <c r="U51" s="494"/>
      <c r="V51" s="494"/>
      <c r="W51" s="275">
        <v>400</v>
      </c>
      <c r="X51" s="280">
        <v>570</v>
      </c>
      <c r="Y51" s="3"/>
      <c r="Z51" s="3"/>
      <c r="AA51" s="275"/>
      <c r="AB51" s="280"/>
      <c r="AC51" s="3"/>
      <c r="AD51" s="280"/>
      <c r="AE51" s="280"/>
      <c r="AF51" s="50" t="s">
        <v>88</v>
      </c>
    </row>
    <row r="52" spans="2:32" x14ac:dyDescent="0.3">
      <c r="B52" s="443" t="s">
        <v>400</v>
      </c>
      <c r="C52" t="s">
        <v>510</v>
      </c>
      <c r="D52" s="18" t="s">
        <v>58</v>
      </c>
      <c r="E52" s="18"/>
      <c r="R52" t="s">
        <v>511</v>
      </c>
      <c r="S52" s="494"/>
      <c r="T52" s="494"/>
      <c r="U52" s="494"/>
      <c r="V52" s="494"/>
      <c r="W52" s="275"/>
      <c r="X52" s="280"/>
      <c r="Y52" s="3"/>
      <c r="Z52" s="3">
        <v>1.26</v>
      </c>
      <c r="AA52" s="275"/>
      <c r="AB52" s="280"/>
      <c r="AC52" s="3"/>
      <c r="AD52" s="280"/>
      <c r="AE52" s="280"/>
      <c r="AF52" t="s">
        <v>58</v>
      </c>
    </row>
    <row r="53" spans="2:32" x14ac:dyDescent="0.3">
      <c r="B53" s="467" t="s">
        <v>404</v>
      </c>
      <c r="C53" s="1"/>
      <c r="D53" s="1"/>
      <c r="R53" s="303" t="s">
        <v>512</v>
      </c>
      <c r="S53" s="494"/>
      <c r="T53" s="494"/>
      <c r="U53" s="494"/>
      <c r="V53" s="494"/>
      <c r="W53" s="302"/>
      <c r="X53" s="302"/>
      <c r="Y53" s="302"/>
      <c r="Z53" s="302"/>
      <c r="AA53" s="300">
        <v>0.57999999999999996</v>
      </c>
      <c r="AB53" s="301"/>
      <c r="AC53" s="302">
        <v>9.1</v>
      </c>
      <c r="AD53" s="302">
        <v>11.7</v>
      </c>
      <c r="AE53" s="308"/>
      <c r="AF53" s="303" t="s">
        <v>88</v>
      </c>
    </row>
    <row r="54" spans="2:32" x14ac:dyDescent="0.3">
      <c r="B54" s="401" t="s">
        <v>407</v>
      </c>
      <c r="C54" s="19" t="s">
        <v>513</v>
      </c>
      <c r="D54" s="18" t="s">
        <v>58</v>
      </c>
      <c r="E54" s="18"/>
      <c r="Q54" s="489"/>
      <c r="R54" s="304" t="s">
        <v>514</v>
      </c>
      <c r="S54" s="495"/>
      <c r="T54" s="495"/>
      <c r="U54" s="495"/>
      <c r="V54" s="495"/>
      <c r="W54" s="305"/>
      <c r="X54" s="305"/>
      <c r="Y54" s="305"/>
      <c r="Z54" s="305"/>
      <c r="AA54" s="306"/>
      <c r="AB54" s="307"/>
      <c r="AC54" s="305">
        <v>16.600000000000001</v>
      </c>
      <c r="AD54" s="305">
        <v>15.5</v>
      </c>
      <c r="AE54" s="309"/>
      <c r="AF54" s="304" t="s">
        <v>88</v>
      </c>
    </row>
    <row r="55" spans="2:32" x14ac:dyDescent="0.3">
      <c r="B55" s="442" t="s">
        <v>413</v>
      </c>
      <c r="C55" t="s">
        <v>515</v>
      </c>
      <c r="D55" s="18" t="s">
        <v>58</v>
      </c>
      <c r="E55" s="18"/>
      <c r="Q55" s="491" t="s">
        <v>516</v>
      </c>
      <c r="R55" s="196" t="s">
        <v>516</v>
      </c>
      <c r="S55" s="70"/>
      <c r="T55" s="70"/>
      <c r="U55" s="70"/>
      <c r="V55" s="70"/>
      <c r="W55" s="70"/>
      <c r="X55" s="70"/>
      <c r="Y55" s="70"/>
      <c r="Z55" s="70"/>
      <c r="AA55" s="311">
        <v>4138</v>
      </c>
      <c r="AB55" s="312">
        <v>4713</v>
      </c>
      <c r="AC55" s="70"/>
      <c r="AD55" s="70"/>
      <c r="AE55" s="313"/>
      <c r="AF55" s="167" t="s">
        <v>70</v>
      </c>
    </row>
    <row r="56" spans="2:32" x14ac:dyDescent="0.3">
      <c r="B56" s="468" t="s">
        <v>418</v>
      </c>
      <c r="C56" s="1"/>
      <c r="D56" s="1"/>
      <c r="Q56" s="491" t="s">
        <v>81</v>
      </c>
      <c r="R56" s="7" t="s">
        <v>81</v>
      </c>
      <c r="S56" s="3">
        <v>176</v>
      </c>
      <c r="T56" s="3">
        <v>475</v>
      </c>
      <c r="U56" s="3">
        <v>580</v>
      </c>
      <c r="V56" s="3">
        <v>333</v>
      </c>
      <c r="W56" s="275">
        <v>194</v>
      </c>
      <c r="X56" s="280">
        <v>270</v>
      </c>
      <c r="Y56" s="3">
        <v>200</v>
      </c>
      <c r="Z56" s="3">
        <v>139</v>
      </c>
      <c r="AA56" s="275">
        <v>124.7</v>
      </c>
      <c r="AB56" s="280">
        <v>132.19999999999999</v>
      </c>
      <c r="AC56" s="3">
        <v>96.2</v>
      </c>
      <c r="AD56" s="280">
        <v>92.5</v>
      </c>
      <c r="AE56" s="280">
        <v>215.4</v>
      </c>
      <c r="AF56" t="s">
        <v>70</v>
      </c>
    </row>
    <row r="57" spans="2:32" x14ac:dyDescent="0.3">
      <c r="B57" s="401" t="s">
        <v>517</v>
      </c>
      <c r="C57" t="s">
        <v>518</v>
      </c>
      <c r="D57" s="18" t="s">
        <v>58</v>
      </c>
      <c r="E57" s="18"/>
      <c r="Q57" s="491" t="s">
        <v>519</v>
      </c>
      <c r="R57" s="7" t="s">
        <v>519</v>
      </c>
      <c r="S57" s="209">
        <v>6</v>
      </c>
      <c r="T57" s="209">
        <v>10</v>
      </c>
      <c r="U57" s="209">
        <v>6</v>
      </c>
      <c r="V57" s="209">
        <v>50</v>
      </c>
      <c r="W57" s="277">
        <v>1</v>
      </c>
      <c r="X57" s="282">
        <v>12</v>
      </c>
      <c r="Y57" s="209">
        <v>1</v>
      </c>
      <c r="Z57" s="209">
        <v>12</v>
      </c>
      <c r="AA57" s="277"/>
      <c r="AB57" s="282"/>
      <c r="AC57" s="209"/>
      <c r="AD57" s="282"/>
      <c r="AE57" s="282">
        <v>1.54</v>
      </c>
      <c r="AF57" s="210" t="s">
        <v>70</v>
      </c>
    </row>
    <row r="58" spans="2:32" x14ac:dyDescent="0.3">
      <c r="B58" s="468" t="s">
        <v>425</v>
      </c>
      <c r="C58" s="1"/>
      <c r="D58" s="1"/>
      <c r="Q58" s="492" t="s">
        <v>520</v>
      </c>
      <c r="R58" s="270" t="s">
        <v>521</v>
      </c>
      <c r="S58" s="272">
        <v>6.1749999999999998</v>
      </c>
      <c r="T58" s="209">
        <v>6</v>
      </c>
      <c r="U58" s="209">
        <v>8.3000000000000007</v>
      </c>
      <c r="V58" s="209">
        <v>4.12</v>
      </c>
      <c r="W58" s="277">
        <v>3.2</v>
      </c>
      <c r="X58" s="282">
        <v>6.83</v>
      </c>
      <c r="Y58" s="209">
        <v>6.79</v>
      </c>
      <c r="Z58" s="209">
        <v>6.94</v>
      </c>
      <c r="AA58" s="277">
        <v>3.51</v>
      </c>
      <c r="AB58" s="282">
        <v>2.5499999999999998</v>
      </c>
      <c r="AC58" s="209">
        <v>3.5</v>
      </c>
      <c r="AD58" s="282">
        <v>4.3499999999999996</v>
      </c>
      <c r="AE58" s="282">
        <v>5.77</v>
      </c>
      <c r="AF58" s="343" t="s">
        <v>143</v>
      </c>
    </row>
    <row r="59" spans="2:32" x14ac:dyDescent="0.3">
      <c r="B59" s="401" t="s">
        <v>429</v>
      </c>
      <c r="C59" s="18" t="s">
        <v>522</v>
      </c>
      <c r="D59" t="s">
        <v>361</v>
      </c>
    </row>
    <row r="60" spans="2:32" x14ac:dyDescent="0.3">
      <c r="B60" s="401" t="s">
        <v>523</v>
      </c>
      <c r="C60" s="18" t="s">
        <v>524</v>
      </c>
      <c r="D60" t="s">
        <v>361</v>
      </c>
      <c r="Q60" s="675" t="s">
        <v>525</v>
      </c>
      <c r="R60" s="676"/>
      <c r="S60" s="676"/>
      <c r="T60" s="676"/>
      <c r="U60" s="676"/>
      <c r="V60" s="676"/>
      <c r="W60" s="676"/>
      <c r="X60" s="676"/>
      <c r="Y60" s="676"/>
      <c r="Z60" s="676"/>
      <c r="AA60" s="676"/>
      <c r="AB60" s="676"/>
      <c r="AC60" s="676"/>
      <c r="AD60" s="676"/>
      <c r="AE60" s="676"/>
      <c r="AF60" s="676"/>
    </row>
    <row r="61" spans="2:32" x14ac:dyDescent="0.3">
      <c r="B61" s="468" t="s">
        <v>526</v>
      </c>
      <c r="C61" s="1"/>
      <c r="D61" s="1"/>
      <c r="Q61" s="676"/>
      <c r="R61" s="676"/>
      <c r="S61" s="676"/>
      <c r="T61" s="676"/>
      <c r="U61" s="676"/>
      <c r="V61" s="676"/>
      <c r="W61" s="676"/>
      <c r="X61" s="676"/>
      <c r="Y61" s="676"/>
      <c r="Z61" s="676"/>
      <c r="AA61" s="676"/>
      <c r="AB61" s="676"/>
      <c r="AC61" s="676"/>
      <c r="AD61" s="676"/>
      <c r="AE61" s="676"/>
      <c r="AF61" s="676"/>
    </row>
    <row r="62" spans="2:32" x14ac:dyDescent="0.3">
      <c r="B62" s="401" t="s">
        <v>456</v>
      </c>
      <c r="C62" s="18" t="s">
        <v>527</v>
      </c>
      <c r="D62" t="s">
        <v>361</v>
      </c>
      <c r="Q62" s="676"/>
      <c r="R62" s="676"/>
      <c r="S62" s="676"/>
      <c r="T62" s="676"/>
      <c r="U62" s="676"/>
      <c r="V62" s="676"/>
      <c r="W62" s="676"/>
      <c r="X62" s="676"/>
      <c r="Y62" s="676"/>
      <c r="Z62" s="676"/>
      <c r="AA62" s="676"/>
      <c r="AB62" s="676"/>
      <c r="AC62" s="676"/>
      <c r="AD62" s="676"/>
      <c r="AE62" s="676"/>
      <c r="AF62" s="676"/>
    </row>
    <row r="63" spans="2:32" x14ac:dyDescent="0.3">
      <c r="B63" s="28" t="s">
        <v>424</v>
      </c>
      <c r="C63" s="469">
        <f>C64+C65+C66+C67+C68+C69+C70+C71</f>
        <v>0.74566962000000003</v>
      </c>
      <c r="D63" s="1"/>
      <c r="Q63" s="676"/>
      <c r="R63" s="676"/>
      <c r="S63" s="676"/>
      <c r="T63" s="676"/>
      <c r="U63" s="676"/>
      <c r="V63" s="676"/>
      <c r="W63" s="676"/>
      <c r="X63" s="676"/>
      <c r="Y63" s="676"/>
      <c r="Z63" s="676"/>
      <c r="AA63" s="676"/>
      <c r="AB63" s="676"/>
      <c r="AC63" s="676"/>
      <c r="AD63" s="676"/>
      <c r="AE63" s="676"/>
      <c r="AF63" s="676"/>
    </row>
    <row r="64" spans="2:32" x14ac:dyDescent="0.3">
      <c r="B64" s="18" t="s">
        <v>528</v>
      </c>
      <c r="C64" s="19" t="s">
        <v>529</v>
      </c>
      <c r="D64" t="s">
        <v>361</v>
      </c>
      <c r="Q64" s="676"/>
      <c r="R64" s="676"/>
      <c r="S64" s="676"/>
      <c r="T64" s="676"/>
      <c r="U64" s="676"/>
      <c r="V64" s="676"/>
      <c r="W64" s="676"/>
      <c r="X64" s="676"/>
      <c r="Y64" s="676"/>
      <c r="Z64" s="676"/>
      <c r="AA64" s="676"/>
      <c r="AB64" s="676"/>
      <c r="AC64" s="676"/>
      <c r="AD64" s="676"/>
      <c r="AE64" s="676"/>
      <c r="AF64" s="676"/>
    </row>
    <row r="65" spans="2:32" x14ac:dyDescent="0.3">
      <c r="B65" s="19" t="s">
        <v>530</v>
      </c>
      <c r="C65" s="18" t="s">
        <v>531</v>
      </c>
      <c r="D65" t="s">
        <v>361</v>
      </c>
      <c r="Q65" s="676"/>
      <c r="R65" s="676"/>
      <c r="S65" s="676"/>
      <c r="T65" s="676"/>
      <c r="U65" s="676"/>
      <c r="V65" s="676"/>
      <c r="W65" s="676"/>
      <c r="X65" s="676"/>
      <c r="Y65" s="676"/>
      <c r="Z65" s="676"/>
      <c r="AA65" s="676"/>
      <c r="AB65" s="676"/>
      <c r="AC65" s="676"/>
      <c r="AD65" s="676"/>
      <c r="AE65" s="676"/>
      <c r="AF65" s="676"/>
    </row>
    <row r="66" spans="2:32" x14ac:dyDescent="0.3">
      <c r="B66" t="s">
        <v>532</v>
      </c>
      <c r="C66" s="19" t="s">
        <v>533</v>
      </c>
      <c r="D66" t="s">
        <v>361</v>
      </c>
    </row>
    <row r="67" spans="2:32" x14ac:dyDescent="0.3">
      <c r="B67" t="s">
        <v>491</v>
      </c>
      <c r="C67" s="19" t="s">
        <v>534</v>
      </c>
      <c r="D67" t="s">
        <v>361</v>
      </c>
    </row>
    <row r="68" spans="2:32" x14ac:dyDescent="0.3">
      <c r="B68" t="s">
        <v>488</v>
      </c>
      <c r="C68" s="18" t="s">
        <v>535</v>
      </c>
      <c r="D68" t="s">
        <v>361</v>
      </c>
    </row>
    <row r="69" spans="2:32" x14ac:dyDescent="0.3">
      <c r="B69" s="18" t="s">
        <v>536</v>
      </c>
      <c r="C69" s="19" t="s">
        <v>537</v>
      </c>
      <c r="D69" t="s">
        <v>361</v>
      </c>
    </row>
    <row r="70" spans="2:32" x14ac:dyDescent="0.3">
      <c r="B70" t="s">
        <v>538</v>
      </c>
      <c r="C70" t="s">
        <v>539</v>
      </c>
      <c r="D70" t="s">
        <v>361</v>
      </c>
    </row>
    <row r="71" spans="2:32" x14ac:dyDescent="0.3">
      <c r="B71" s="18" t="s">
        <v>540</v>
      </c>
      <c r="C71" t="s">
        <v>541</v>
      </c>
      <c r="D71" t="s">
        <v>361</v>
      </c>
    </row>
    <row r="72" spans="2:32" x14ac:dyDescent="0.3">
      <c r="B72" s="27" t="s">
        <v>427</v>
      </c>
      <c r="C72" s="1"/>
      <c r="D72" s="1"/>
    </row>
    <row r="73" spans="2:32" x14ac:dyDescent="0.3">
      <c r="B73" s="445" t="s">
        <v>542</v>
      </c>
      <c r="C73" s="19" t="s">
        <v>428</v>
      </c>
      <c r="D73" t="s">
        <v>361</v>
      </c>
    </row>
    <row r="74" spans="2:32" x14ac:dyDescent="0.3">
      <c r="B74" s="466" t="s">
        <v>433</v>
      </c>
      <c r="C74" s="471">
        <f>C76+C78+C79+C81+C83+C84+C86+C88+C89+C91+C92+C93</f>
        <v>3.8585299999999996E-2</v>
      </c>
      <c r="D74" s="1"/>
    </row>
    <row r="75" spans="2:32" x14ac:dyDescent="0.3">
      <c r="B75" s="468" t="s">
        <v>368</v>
      </c>
      <c r="C75" s="1"/>
      <c r="D75" s="1"/>
    </row>
    <row r="76" spans="2:32" x14ac:dyDescent="0.3">
      <c r="B76" s="401" t="s">
        <v>501</v>
      </c>
      <c r="C76" s="18" t="s">
        <v>543</v>
      </c>
      <c r="D76" t="s">
        <v>361</v>
      </c>
    </row>
    <row r="77" spans="2:32" x14ac:dyDescent="0.3">
      <c r="B77" s="468" t="s">
        <v>377</v>
      </c>
      <c r="C77" s="1"/>
      <c r="D77" s="1"/>
    </row>
    <row r="78" spans="2:32" x14ac:dyDescent="0.3">
      <c r="B78" s="401" t="s">
        <v>504</v>
      </c>
      <c r="C78" s="18" t="s">
        <v>544</v>
      </c>
      <c r="D78" t="s">
        <v>361</v>
      </c>
    </row>
    <row r="79" spans="2:32" x14ac:dyDescent="0.3">
      <c r="B79" s="401" t="s">
        <v>545</v>
      </c>
      <c r="C79" s="18" t="s">
        <v>546</v>
      </c>
      <c r="D79" t="s">
        <v>361</v>
      </c>
    </row>
    <row r="80" spans="2:32" x14ac:dyDescent="0.3">
      <c r="B80" s="468" t="s">
        <v>547</v>
      </c>
      <c r="C80" s="1"/>
      <c r="D80" s="1"/>
    </row>
    <row r="81" spans="2:18" x14ac:dyDescent="0.3">
      <c r="B81" s="401" t="s">
        <v>548</v>
      </c>
      <c r="C81" t="s">
        <v>549</v>
      </c>
      <c r="D81" t="s">
        <v>361</v>
      </c>
    </row>
    <row r="82" spans="2:18" x14ac:dyDescent="0.3">
      <c r="B82" s="468" t="s">
        <v>404</v>
      </c>
      <c r="C82" s="1"/>
      <c r="D82" s="1"/>
    </row>
    <row r="83" spans="2:18" x14ac:dyDescent="0.3">
      <c r="B83" s="401" t="s">
        <v>550</v>
      </c>
      <c r="C83" s="18" t="s">
        <v>551</v>
      </c>
      <c r="D83" t="s">
        <v>361</v>
      </c>
    </row>
    <row r="84" spans="2:18" x14ac:dyDescent="0.3">
      <c r="B84" s="401" t="s">
        <v>413</v>
      </c>
      <c r="C84" t="s">
        <v>552</v>
      </c>
      <c r="D84" t="s">
        <v>361</v>
      </c>
    </row>
    <row r="85" spans="2:18" x14ac:dyDescent="0.3">
      <c r="B85" s="468" t="s">
        <v>418</v>
      </c>
      <c r="C85" s="1"/>
      <c r="D85" s="1"/>
    </row>
    <row r="86" spans="2:18" x14ac:dyDescent="0.3">
      <c r="B86" s="401" t="s">
        <v>517</v>
      </c>
      <c r="C86" s="18" t="s">
        <v>553</v>
      </c>
      <c r="D86" t="s">
        <v>361</v>
      </c>
    </row>
    <row r="87" spans="2:18" x14ac:dyDescent="0.3">
      <c r="B87" s="468" t="s">
        <v>425</v>
      </c>
      <c r="C87" s="1"/>
      <c r="D87" s="1"/>
    </row>
    <row r="88" spans="2:18" x14ac:dyDescent="0.3">
      <c r="B88" s="401" t="s">
        <v>429</v>
      </c>
      <c r="C88" s="18" t="s">
        <v>554</v>
      </c>
      <c r="D88" t="s">
        <v>361</v>
      </c>
    </row>
    <row r="89" spans="2:18" x14ac:dyDescent="0.3">
      <c r="B89" s="401" t="s">
        <v>555</v>
      </c>
      <c r="C89" t="s">
        <v>556</v>
      </c>
      <c r="D89" t="s">
        <v>361</v>
      </c>
    </row>
    <row r="90" spans="2:18" x14ac:dyDescent="0.3">
      <c r="B90" s="468" t="s">
        <v>526</v>
      </c>
      <c r="C90" s="1"/>
      <c r="D90" s="1"/>
    </row>
    <row r="91" spans="2:18" x14ac:dyDescent="0.3">
      <c r="B91" s="401" t="s">
        <v>445</v>
      </c>
      <c r="C91" s="18" t="s">
        <v>557</v>
      </c>
      <c r="D91" t="s">
        <v>361</v>
      </c>
    </row>
    <row r="92" spans="2:18" x14ac:dyDescent="0.3">
      <c r="B92" s="401" t="s">
        <v>558</v>
      </c>
      <c r="C92" s="18" t="s">
        <v>559</v>
      </c>
      <c r="D92" t="s">
        <v>361</v>
      </c>
    </row>
    <row r="93" spans="2:18" x14ac:dyDescent="0.3">
      <c r="B93" s="401" t="s">
        <v>560</v>
      </c>
      <c r="C93" t="s">
        <v>561</v>
      </c>
      <c r="D93" t="s">
        <v>361</v>
      </c>
    </row>
    <row r="94" spans="2:18" x14ac:dyDescent="0.3">
      <c r="B94" s="7" t="s">
        <v>562</v>
      </c>
      <c r="C94" s="18" t="s">
        <v>440</v>
      </c>
      <c r="D94" t="s">
        <v>361</v>
      </c>
      <c r="R94" s="674" t="s">
        <v>563</v>
      </c>
    </row>
    <row r="95" spans="2:18" x14ac:dyDescent="0.3">
      <c r="B95" s="7" t="s">
        <v>443</v>
      </c>
      <c r="C95" s="18" t="s">
        <v>444</v>
      </c>
      <c r="D95" t="s">
        <v>361</v>
      </c>
      <c r="R95" s="674"/>
    </row>
    <row r="96" spans="2:18" ht="28.8" x14ac:dyDescent="0.3">
      <c r="B96" s="31" t="s">
        <v>449</v>
      </c>
      <c r="C96" s="18" t="s">
        <v>450</v>
      </c>
      <c r="D96" t="s">
        <v>361</v>
      </c>
      <c r="R96" s="674"/>
    </row>
    <row r="97" spans="1:32" x14ac:dyDescent="0.3">
      <c r="R97" s="674"/>
    </row>
    <row r="98" spans="1:32" x14ac:dyDescent="0.3">
      <c r="A98" s="32" t="s">
        <v>564</v>
      </c>
      <c r="B98" s="33"/>
      <c r="C98" s="33"/>
    </row>
    <row r="99" spans="1:32" x14ac:dyDescent="0.3">
      <c r="B99" s="34"/>
    </row>
    <row r="103" spans="1:32" x14ac:dyDescent="0.3">
      <c r="S103" s="685" t="s">
        <v>565</v>
      </c>
      <c r="T103" s="685"/>
      <c r="U103" s="511"/>
      <c r="V103" s="513" t="s">
        <v>566</v>
      </c>
      <c r="W103" s="514"/>
      <c r="X103" s="514"/>
      <c r="Y103" s="514"/>
    </row>
    <row r="107" spans="1:32" x14ac:dyDescent="0.3">
      <c r="S107" s="665" t="s">
        <v>567</v>
      </c>
      <c r="T107" s="666"/>
      <c r="U107" s="666"/>
      <c r="V107" s="666"/>
      <c r="W107" s="666"/>
      <c r="X107" s="666"/>
      <c r="Y107" s="666"/>
      <c r="Z107" s="666"/>
      <c r="AA107" s="666"/>
      <c r="AB107" s="666"/>
      <c r="AC107" s="666"/>
      <c r="AD107" s="666"/>
      <c r="AE107" s="667"/>
    </row>
    <row r="108" spans="1:32" x14ac:dyDescent="0.3">
      <c r="R108" s="284" t="s">
        <v>320</v>
      </c>
      <c r="S108" s="671" t="s">
        <v>319</v>
      </c>
      <c r="T108" s="672"/>
      <c r="U108" s="672"/>
      <c r="V108" s="672"/>
      <c r="W108" s="672"/>
      <c r="X108" s="672"/>
      <c r="Y108" s="672"/>
      <c r="Z108" s="672"/>
      <c r="AA108" s="672"/>
      <c r="AB108" s="672"/>
      <c r="AC108" s="672"/>
      <c r="AD108" s="672"/>
      <c r="AE108" s="673"/>
      <c r="AF108" s="285" t="s">
        <v>55</v>
      </c>
    </row>
    <row r="109" spans="1:32" x14ac:dyDescent="0.3">
      <c r="R109" s="50" t="s">
        <v>326</v>
      </c>
      <c r="S109" s="266" t="s">
        <v>327</v>
      </c>
      <c r="T109" s="266" t="s">
        <v>328</v>
      </c>
      <c r="U109" s="266" t="s">
        <v>329</v>
      </c>
      <c r="V109" s="266" t="s">
        <v>330</v>
      </c>
      <c r="W109" s="273" t="s">
        <v>331</v>
      </c>
      <c r="X109" s="278" t="s">
        <v>332</v>
      </c>
      <c r="Y109" s="266" t="s">
        <v>333</v>
      </c>
      <c r="Z109" s="266" t="s">
        <v>334</v>
      </c>
      <c r="AA109" s="481" t="s">
        <v>335</v>
      </c>
      <c r="AB109" s="482" t="s">
        <v>335</v>
      </c>
      <c r="AC109" s="481" t="s">
        <v>336</v>
      </c>
      <c r="AD109" s="482" t="s">
        <v>336</v>
      </c>
      <c r="AE109" s="278" t="s">
        <v>337</v>
      </c>
      <c r="AF109" s="50"/>
    </row>
    <row r="110" spans="1:32" x14ac:dyDescent="0.3">
      <c r="R110" s="267" t="s">
        <v>352</v>
      </c>
      <c r="S110" s="268">
        <v>17</v>
      </c>
      <c r="T110" s="268">
        <v>3</v>
      </c>
      <c r="U110" s="268">
        <v>6</v>
      </c>
      <c r="V110" s="268">
        <v>6</v>
      </c>
      <c r="W110" s="274">
        <v>2.5</v>
      </c>
      <c r="X110" s="279">
        <v>6</v>
      </c>
      <c r="Y110" s="268">
        <v>14</v>
      </c>
      <c r="Z110" s="268">
        <v>7</v>
      </c>
      <c r="AA110" s="274">
        <v>87</v>
      </c>
      <c r="AB110" s="279">
        <v>87</v>
      </c>
      <c r="AC110" s="274">
        <v>193</v>
      </c>
      <c r="AD110" s="279">
        <v>193</v>
      </c>
      <c r="AE110" s="279">
        <v>65</v>
      </c>
      <c r="AF110" s="267" t="s">
        <v>351</v>
      </c>
    </row>
    <row r="111" spans="1:32" x14ac:dyDescent="0.3">
      <c r="R111" s="50" t="s">
        <v>356</v>
      </c>
      <c r="S111" s="3" t="s">
        <v>357</v>
      </c>
      <c r="T111" s="3">
        <v>2012</v>
      </c>
      <c r="U111" s="3">
        <v>2012</v>
      </c>
      <c r="V111" s="3">
        <v>2012</v>
      </c>
      <c r="W111" s="275">
        <v>2012</v>
      </c>
      <c r="X111" s="280">
        <v>2012</v>
      </c>
      <c r="Y111" s="3">
        <v>2012</v>
      </c>
      <c r="Z111" s="3">
        <v>2011</v>
      </c>
      <c r="AA111" s="275">
        <v>2011</v>
      </c>
      <c r="AB111" s="280">
        <v>2012</v>
      </c>
      <c r="AC111" s="3">
        <v>2011</v>
      </c>
      <c r="AD111" s="280">
        <v>2012</v>
      </c>
      <c r="AE111" s="283">
        <v>2011</v>
      </c>
      <c r="AF111" s="50"/>
    </row>
    <row r="112" spans="1:32" x14ac:dyDescent="0.3">
      <c r="R112" s="271"/>
      <c r="S112" s="271"/>
      <c r="T112" s="271"/>
      <c r="U112" s="271"/>
      <c r="V112" s="271"/>
      <c r="W112" s="276"/>
      <c r="X112" s="281"/>
      <c r="Y112" s="271"/>
      <c r="Z112" s="271"/>
      <c r="AA112" s="276"/>
      <c r="AB112" s="281"/>
      <c r="AC112" s="271"/>
      <c r="AD112" s="281"/>
      <c r="AE112" s="281"/>
      <c r="AF112" s="271"/>
    </row>
    <row r="113" spans="18:32" ht="15.6" x14ac:dyDescent="0.3">
      <c r="R113" s="352" t="s">
        <v>54</v>
      </c>
      <c r="S113" s="535"/>
      <c r="T113" s="535"/>
      <c r="U113" s="535"/>
      <c r="V113" s="535"/>
      <c r="W113" s="535"/>
      <c r="X113" s="535"/>
      <c r="Y113" s="535"/>
      <c r="Z113" s="535"/>
      <c r="AA113" s="535"/>
      <c r="AB113" s="535"/>
      <c r="AC113" s="535"/>
      <c r="AD113" s="535"/>
      <c r="AE113" s="536"/>
      <c r="AF113" s="105"/>
    </row>
    <row r="114" spans="18:32" x14ac:dyDescent="0.3">
      <c r="R114" t="s">
        <v>353</v>
      </c>
      <c r="S114" s="498"/>
      <c r="T114" s="499"/>
      <c r="U114" s="499"/>
      <c r="V114" s="499"/>
      <c r="W114" s="499"/>
      <c r="X114" s="499"/>
      <c r="Y114" s="499"/>
      <c r="Z114" s="499"/>
      <c r="AA114" s="499">
        <v>4138</v>
      </c>
      <c r="AB114" s="499">
        <v>4713</v>
      </c>
      <c r="AC114" s="499"/>
      <c r="AD114" s="499"/>
      <c r="AE114" s="500"/>
      <c r="AF114" t="s">
        <v>70</v>
      </c>
    </row>
    <row r="115" spans="18:32" x14ac:dyDescent="0.3">
      <c r="R115" s="100" t="s">
        <v>358</v>
      </c>
      <c r="S115" s="506">
        <v>17</v>
      </c>
      <c r="T115" s="507">
        <v>3</v>
      </c>
      <c r="U115" s="507">
        <v>6</v>
      </c>
      <c r="V115" s="507">
        <v>6</v>
      </c>
      <c r="W115" s="507">
        <v>2.5</v>
      </c>
      <c r="X115" s="507">
        <v>6</v>
      </c>
      <c r="Y115" s="507">
        <v>14</v>
      </c>
      <c r="Z115" s="507">
        <v>7</v>
      </c>
      <c r="AA115" s="507">
        <v>87</v>
      </c>
      <c r="AB115" s="507">
        <v>87</v>
      </c>
      <c r="AC115" s="507">
        <v>193</v>
      </c>
      <c r="AD115" s="507">
        <v>193</v>
      </c>
      <c r="AE115" s="508">
        <v>65</v>
      </c>
    </row>
    <row r="116" spans="18:32" x14ac:dyDescent="0.3">
      <c r="R116" s="445" t="s">
        <v>363</v>
      </c>
      <c r="S116" s="501">
        <v>374.3</v>
      </c>
      <c r="T116" s="71">
        <v>268</v>
      </c>
      <c r="U116" s="71">
        <v>0</v>
      </c>
      <c r="V116" s="71">
        <v>98.3</v>
      </c>
      <c r="W116" s="71">
        <v>806</v>
      </c>
      <c r="X116" s="71">
        <v>9874.6</v>
      </c>
      <c r="Y116" s="71">
        <v>266</v>
      </c>
      <c r="Z116" s="71">
        <v>572</v>
      </c>
      <c r="AA116" s="71">
        <v>430.15999999999997</v>
      </c>
      <c r="AB116" s="71">
        <v>710.92999999999984</v>
      </c>
      <c r="AC116" s="71">
        <v>236.3</v>
      </c>
      <c r="AD116" s="71">
        <v>196.59</v>
      </c>
      <c r="AE116" s="502">
        <v>69.600000000000009</v>
      </c>
      <c r="AF116" t="s">
        <v>361</v>
      </c>
    </row>
    <row r="117" spans="18:32" x14ac:dyDescent="0.3">
      <c r="R117" s="401" t="s">
        <v>367</v>
      </c>
      <c r="S117" s="501">
        <v>561.39</v>
      </c>
      <c r="T117" s="71">
        <v>294.63</v>
      </c>
      <c r="U117" s="71">
        <v>634.04</v>
      </c>
      <c r="V117" s="71">
        <v>1606.25</v>
      </c>
      <c r="W117" s="71">
        <v>604.15</v>
      </c>
      <c r="X117" s="71">
        <v>1327.78</v>
      </c>
      <c r="Y117" s="71">
        <v>81.459999999999994</v>
      </c>
      <c r="Z117" s="71">
        <v>5.0999999999999996</v>
      </c>
      <c r="AA117" s="71">
        <v>314.74899999999997</v>
      </c>
      <c r="AB117" s="71">
        <v>329.03000000000003</v>
      </c>
      <c r="AC117" s="71">
        <v>1750.8809999999996</v>
      </c>
      <c r="AD117" s="71">
        <v>1288.7</v>
      </c>
      <c r="AE117" s="502">
        <v>618.51</v>
      </c>
      <c r="AF117" t="s">
        <v>361</v>
      </c>
    </row>
    <row r="118" spans="18:32" x14ac:dyDescent="0.3">
      <c r="R118" s="7" t="s">
        <v>370</v>
      </c>
      <c r="S118" s="501"/>
      <c r="T118" s="71"/>
      <c r="U118" s="71"/>
      <c r="V118" s="71"/>
      <c r="W118" s="71"/>
      <c r="X118" s="71"/>
      <c r="Y118" s="71"/>
      <c r="Z118" s="71"/>
      <c r="AA118" s="71"/>
      <c r="AB118" s="71"/>
      <c r="AC118" s="71"/>
      <c r="AD118" s="71"/>
      <c r="AE118" s="502"/>
    </row>
    <row r="119" spans="18:32" x14ac:dyDescent="0.3">
      <c r="R119" t="s">
        <v>376</v>
      </c>
      <c r="S119" s="501"/>
      <c r="T119" s="71"/>
      <c r="U119" s="71"/>
      <c r="V119" s="71"/>
      <c r="W119" s="71"/>
      <c r="X119" s="71"/>
      <c r="Y119" s="71"/>
      <c r="Z119" s="71"/>
      <c r="AA119" s="71"/>
      <c r="AB119" s="71"/>
      <c r="AC119" s="71"/>
      <c r="AD119" s="71"/>
      <c r="AE119" s="502"/>
    </row>
    <row r="120" spans="18:32" x14ac:dyDescent="0.3">
      <c r="R120" s="7" t="s">
        <v>81</v>
      </c>
      <c r="S120" s="537">
        <v>176</v>
      </c>
      <c r="T120" s="538">
        <v>475</v>
      </c>
      <c r="U120" s="538">
        <v>580</v>
      </c>
      <c r="V120" s="538">
        <v>333</v>
      </c>
      <c r="W120" s="538">
        <v>194</v>
      </c>
      <c r="X120" s="538">
        <v>270</v>
      </c>
      <c r="Y120" s="538">
        <v>200</v>
      </c>
      <c r="Z120" s="538">
        <v>139</v>
      </c>
      <c r="AA120" s="538">
        <v>124.7</v>
      </c>
      <c r="AB120" s="538">
        <v>132.19999999999999</v>
      </c>
      <c r="AC120" s="538">
        <v>96.2</v>
      </c>
      <c r="AD120" s="538">
        <v>92.5</v>
      </c>
      <c r="AE120" s="539">
        <v>215.4</v>
      </c>
      <c r="AF120" s="7" t="s">
        <v>70</v>
      </c>
    </row>
    <row r="121" spans="18:32" x14ac:dyDescent="0.3">
      <c r="R121" s="19" t="s">
        <v>388</v>
      </c>
      <c r="S121" s="501"/>
      <c r="T121" s="71"/>
      <c r="U121" s="71"/>
      <c r="V121" s="71"/>
      <c r="W121" s="71"/>
      <c r="X121" s="71"/>
      <c r="Y121" s="71"/>
      <c r="Z121" s="71"/>
      <c r="AA121" s="71"/>
      <c r="AB121" s="71"/>
      <c r="AC121" s="71"/>
      <c r="AD121" s="71"/>
      <c r="AE121" s="502"/>
    </row>
    <row r="122" spans="18:32" x14ac:dyDescent="0.3">
      <c r="R122" s="19" t="s">
        <v>395</v>
      </c>
      <c r="S122" s="501"/>
      <c r="T122" s="71"/>
      <c r="U122" s="71"/>
      <c r="V122" s="71"/>
      <c r="W122" s="71"/>
      <c r="X122" s="71"/>
      <c r="Y122" s="71"/>
      <c r="Z122" s="71"/>
      <c r="AA122" s="71"/>
      <c r="AB122" s="71"/>
      <c r="AC122" s="71"/>
      <c r="AD122" s="71"/>
      <c r="AE122" s="502"/>
    </row>
    <row r="123" spans="18:32" x14ac:dyDescent="0.3">
      <c r="S123" s="504"/>
      <c r="T123" s="321"/>
      <c r="U123" s="321"/>
      <c r="V123" s="321"/>
      <c r="W123" s="321"/>
      <c r="X123" s="321"/>
      <c r="Y123" s="321"/>
      <c r="Z123" s="321"/>
      <c r="AA123" s="321"/>
      <c r="AB123" s="321"/>
      <c r="AC123" s="321"/>
      <c r="AD123" s="321"/>
      <c r="AE123" s="505"/>
    </row>
    <row r="124" spans="18:32" x14ac:dyDescent="0.3">
      <c r="R124" s="472" t="s">
        <v>83</v>
      </c>
      <c r="S124" s="497" t="s">
        <v>327</v>
      </c>
      <c r="T124" s="497" t="s">
        <v>328</v>
      </c>
      <c r="U124" s="497" t="s">
        <v>329</v>
      </c>
      <c r="V124" s="497" t="s">
        <v>330</v>
      </c>
      <c r="W124" s="497" t="s">
        <v>331</v>
      </c>
      <c r="X124" s="497" t="s">
        <v>332</v>
      </c>
      <c r="Y124" s="497" t="s">
        <v>333</v>
      </c>
      <c r="Z124" s="497" t="s">
        <v>334</v>
      </c>
      <c r="AA124" s="497" t="s">
        <v>341</v>
      </c>
      <c r="AB124" s="497" t="s">
        <v>342</v>
      </c>
      <c r="AC124" s="497" t="s">
        <v>343</v>
      </c>
      <c r="AD124" s="497" t="s">
        <v>344</v>
      </c>
      <c r="AE124" s="497" t="s">
        <v>337</v>
      </c>
    </row>
    <row r="125" spans="18:32" x14ac:dyDescent="0.3">
      <c r="R125" s="28" t="s">
        <v>520</v>
      </c>
      <c r="S125" s="368">
        <v>6.1749999999999998</v>
      </c>
      <c r="T125" s="368">
        <v>6</v>
      </c>
      <c r="U125" s="368">
        <v>8.3000000000000007</v>
      </c>
      <c r="V125" s="368">
        <v>4.12</v>
      </c>
      <c r="W125" s="368">
        <v>3.2</v>
      </c>
      <c r="X125" s="368">
        <v>6.83</v>
      </c>
      <c r="Y125" s="368">
        <v>6.79</v>
      </c>
      <c r="Z125" s="368">
        <v>6.94</v>
      </c>
      <c r="AA125" s="368">
        <v>3.51</v>
      </c>
      <c r="AB125" s="368">
        <v>2.5499999999999998</v>
      </c>
      <c r="AC125" s="368">
        <v>3.5</v>
      </c>
      <c r="AD125" s="368">
        <v>4.3499999999999996</v>
      </c>
      <c r="AE125" s="368">
        <v>5.77</v>
      </c>
    </row>
    <row r="126" spans="18:32" x14ac:dyDescent="0.3">
      <c r="R126" s="24" t="s">
        <v>406</v>
      </c>
      <c r="S126" s="509">
        <v>6175</v>
      </c>
      <c r="T126" s="509">
        <v>6000</v>
      </c>
      <c r="U126" s="509">
        <v>8300</v>
      </c>
      <c r="V126" s="509">
        <v>4120</v>
      </c>
      <c r="W126" s="509">
        <v>3200</v>
      </c>
      <c r="X126" s="509">
        <v>6830</v>
      </c>
      <c r="Y126" s="509">
        <v>6790</v>
      </c>
      <c r="Z126" s="509">
        <v>6940</v>
      </c>
      <c r="AA126" s="509">
        <v>3510</v>
      </c>
      <c r="AB126" s="509">
        <v>2550</v>
      </c>
      <c r="AC126" s="509">
        <v>3500</v>
      </c>
      <c r="AD126" s="509">
        <v>4350</v>
      </c>
      <c r="AE126" s="509">
        <v>5770</v>
      </c>
    </row>
    <row r="128" spans="18:32" x14ac:dyDescent="0.3">
      <c r="U128" s="677" t="s">
        <v>568</v>
      </c>
      <c r="V128" s="677"/>
      <c r="W128" s="677"/>
      <c r="X128" s="677"/>
      <c r="Y128" s="677"/>
      <c r="Z128" s="677"/>
      <c r="AA128" s="677"/>
      <c r="AB128" s="678" t="s">
        <v>569</v>
      </c>
      <c r="AC128" s="679"/>
      <c r="AD128" s="679"/>
      <c r="AE128" s="680"/>
    </row>
    <row r="129" spans="18:32" x14ac:dyDescent="0.3">
      <c r="U129" s="35">
        <v>0.75</v>
      </c>
      <c r="V129" s="35" t="s">
        <v>70</v>
      </c>
      <c r="W129" s="35" t="s">
        <v>570</v>
      </c>
      <c r="X129" s="35"/>
      <c r="Y129" s="35">
        <v>1.125</v>
      </c>
      <c r="Z129" s="35" t="s">
        <v>58</v>
      </c>
      <c r="AA129" s="35" t="s">
        <v>571</v>
      </c>
      <c r="AB129" s="681"/>
      <c r="AC129" s="682"/>
      <c r="AD129" s="682"/>
      <c r="AE129" s="683"/>
    </row>
    <row r="131" spans="18:32" x14ac:dyDescent="0.3">
      <c r="S131" s="665" t="s">
        <v>321</v>
      </c>
      <c r="T131" s="666"/>
      <c r="U131" s="666"/>
      <c r="V131" s="666"/>
      <c r="W131" s="666"/>
      <c r="X131" s="666"/>
      <c r="Y131" s="666"/>
      <c r="Z131" s="666"/>
      <c r="AA131" s="666"/>
      <c r="AB131" s="666"/>
      <c r="AC131" s="666"/>
      <c r="AD131" s="666"/>
      <c r="AE131" s="667"/>
    </row>
    <row r="132" spans="18:32" x14ac:dyDescent="0.3">
      <c r="R132" s="284" t="s">
        <v>320</v>
      </c>
      <c r="S132" s="671" t="s">
        <v>319</v>
      </c>
      <c r="T132" s="672"/>
      <c r="U132" s="672"/>
      <c r="V132" s="672"/>
      <c r="W132" s="672"/>
      <c r="X132" s="672"/>
      <c r="Y132" s="672"/>
      <c r="Z132" s="672"/>
      <c r="AA132" s="672"/>
      <c r="AB132" s="672"/>
      <c r="AC132" s="672"/>
      <c r="AD132" s="672"/>
      <c r="AE132" s="673"/>
      <c r="AF132" s="285" t="s">
        <v>55</v>
      </c>
    </row>
    <row r="133" spans="18:32" x14ac:dyDescent="0.3">
      <c r="R133" s="50" t="s">
        <v>326</v>
      </c>
      <c r="S133" s="266" t="s">
        <v>327</v>
      </c>
      <c r="T133" s="266" t="s">
        <v>328</v>
      </c>
      <c r="U133" s="266" t="s">
        <v>329</v>
      </c>
      <c r="V133" s="266" t="s">
        <v>330</v>
      </c>
      <c r="W133" s="273" t="s">
        <v>331</v>
      </c>
      <c r="X133" s="278" t="s">
        <v>332</v>
      </c>
      <c r="Y133" s="266" t="s">
        <v>333</v>
      </c>
      <c r="Z133" s="266" t="s">
        <v>334</v>
      </c>
      <c r="AA133" s="481" t="s">
        <v>335</v>
      </c>
      <c r="AB133" s="482" t="s">
        <v>335</v>
      </c>
      <c r="AC133" s="481" t="s">
        <v>336</v>
      </c>
      <c r="AD133" s="482" t="s">
        <v>336</v>
      </c>
      <c r="AE133" s="278" t="s">
        <v>337</v>
      </c>
      <c r="AF133" s="50"/>
    </row>
    <row r="134" spans="18:32" x14ac:dyDescent="0.3">
      <c r="R134" s="267" t="s">
        <v>352</v>
      </c>
      <c r="S134" s="268">
        <v>17</v>
      </c>
      <c r="T134" s="268">
        <v>3</v>
      </c>
      <c r="U134" s="268">
        <v>6</v>
      </c>
      <c r="V134" s="268">
        <v>6</v>
      </c>
      <c r="W134" s="274">
        <v>2.5</v>
      </c>
      <c r="X134" s="279">
        <v>6</v>
      </c>
      <c r="Y134" s="268">
        <v>14</v>
      </c>
      <c r="Z134" s="268">
        <v>7</v>
      </c>
      <c r="AA134" s="274">
        <v>87</v>
      </c>
      <c r="AB134" s="279">
        <v>87</v>
      </c>
      <c r="AC134" s="274">
        <v>193</v>
      </c>
      <c r="AD134" s="279">
        <v>193</v>
      </c>
      <c r="AE134" s="279">
        <v>65</v>
      </c>
      <c r="AF134" s="267" t="s">
        <v>351</v>
      </c>
    </row>
    <row r="135" spans="18:32" x14ac:dyDescent="0.3">
      <c r="R135" s="50" t="s">
        <v>356</v>
      </c>
      <c r="S135" s="3" t="s">
        <v>357</v>
      </c>
      <c r="T135" s="3">
        <v>2012</v>
      </c>
      <c r="U135" s="3">
        <v>2012</v>
      </c>
      <c r="V135" s="3">
        <v>2012</v>
      </c>
      <c r="W135" s="275">
        <v>2012</v>
      </c>
      <c r="X135" s="280">
        <v>2012</v>
      </c>
      <c r="Y135" s="3">
        <v>2012</v>
      </c>
      <c r="Z135" s="3">
        <v>2011</v>
      </c>
      <c r="AA135" s="275">
        <v>2011</v>
      </c>
      <c r="AB135" s="280">
        <v>2012</v>
      </c>
      <c r="AC135" s="3">
        <v>2011</v>
      </c>
      <c r="AD135" s="280">
        <v>2012</v>
      </c>
      <c r="AE135" s="283">
        <v>2011</v>
      </c>
      <c r="AF135" s="50"/>
    </row>
    <row r="136" spans="18:32" x14ac:dyDescent="0.3">
      <c r="R136" s="271"/>
      <c r="S136" s="271"/>
      <c r="T136" s="271"/>
      <c r="U136" s="271"/>
      <c r="V136" s="271"/>
      <c r="W136" s="276"/>
      <c r="X136" s="281"/>
      <c r="Y136" s="271"/>
      <c r="Z136" s="271"/>
      <c r="AA136" s="276"/>
      <c r="AB136" s="281"/>
      <c r="AC136" s="271"/>
      <c r="AD136" s="281"/>
      <c r="AE136" s="281"/>
      <c r="AF136" s="271"/>
    </row>
    <row r="137" spans="18:32" ht="15.6" x14ac:dyDescent="0.3">
      <c r="R137" s="352" t="s">
        <v>54</v>
      </c>
      <c r="S137" s="535"/>
      <c r="T137" s="535"/>
      <c r="U137" s="535"/>
      <c r="V137" s="535"/>
      <c r="W137" s="535"/>
      <c r="X137" s="535"/>
      <c r="Y137" s="535"/>
      <c r="Z137" s="535"/>
      <c r="AA137" s="535"/>
      <c r="AB137" s="535"/>
      <c r="AC137" s="535"/>
      <c r="AD137" s="535"/>
      <c r="AE137" s="536"/>
      <c r="AF137" s="105"/>
    </row>
    <row r="138" spans="18:32" x14ac:dyDescent="0.3">
      <c r="R138" t="s">
        <v>353</v>
      </c>
      <c r="S138" s="498"/>
      <c r="T138" s="499"/>
      <c r="U138" s="499"/>
      <c r="V138" s="499"/>
      <c r="W138" s="499"/>
      <c r="X138" s="499"/>
      <c r="Y138" s="499"/>
      <c r="Z138" s="499"/>
      <c r="AA138" s="499">
        <f>(AA114*1.125)/AA126</f>
        <v>1.3262820512820512</v>
      </c>
      <c r="AB138" s="499">
        <f t="shared" ref="AB138" si="7">(AB114*1.125)/AB126</f>
        <v>2.0792647058823528</v>
      </c>
      <c r="AC138" s="499"/>
      <c r="AD138" s="499"/>
      <c r="AE138" s="500"/>
      <c r="AF138" t="s">
        <v>70</v>
      </c>
    </row>
    <row r="139" spans="18:32" x14ac:dyDescent="0.3">
      <c r="R139" s="100" t="s">
        <v>358</v>
      </c>
      <c r="S139" s="506">
        <v>17</v>
      </c>
      <c r="T139" s="507">
        <v>3</v>
      </c>
      <c r="U139" s="507">
        <v>6</v>
      </c>
      <c r="V139" s="507">
        <v>6</v>
      </c>
      <c r="W139" s="507">
        <v>2.5</v>
      </c>
      <c r="X139" s="507">
        <v>6</v>
      </c>
      <c r="Y139" s="507">
        <v>14</v>
      </c>
      <c r="Z139" s="507">
        <v>7</v>
      </c>
      <c r="AA139" s="507">
        <v>87</v>
      </c>
      <c r="AB139" s="507">
        <v>87</v>
      </c>
      <c r="AC139" s="507">
        <v>193</v>
      </c>
      <c r="AD139" s="507">
        <v>193</v>
      </c>
      <c r="AE139" s="508">
        <v>65</v>
      </c>
    </row>
    <row r="140" spans="18:32" x14ac:dyDescent="0.3">
      <c r="R140" s="445" t="s">
        <v>363</v>
      </c>
      <c r="S140" s="501">
        <f>(S116*1.125)/S126</f>
        <v>6.8192307692307691E-2</v>
      </c>
      <c r="T140" s="501">
        <f t="shared" ref="T140:AE140" si="8">(T116*1.125)/T126</f>
        <v>5.0250000000000003E-2</v>
      </c>
      <c r="U140" s="501">
        <f t="shared" si="8"/>
        <v>0</v>
      </c>
      <c r="V140" s="501">
        <f t="shared" si="8"/>
        <v>2.6841626213592231E-2</v>
      </c>
      <c r="W140" s="501">
        <f t="shared" si="8"/>
        <v>0.28335937500000002</v>
      </c>
      <c r="X140" s="501">
        <f t="shared" si="8"/>
        <v>1.6264897510980969</v>
      </c>
      <c r="Y140" s="501">
        <f t="shared" si="8"/>
        <v>4.4072164948453611E-2</v>
      </c>
      <c r="Z140" s="501">
        <f t="shared" si="8"/>
        <v>9.2723342939481271E-2</v>
      </c>
      <c r="AA140" s="501">
        <f t="shared" si="8"/>
        <v>0.13787179487179485</v>
      </c>
      <c r="AB140" s="501">
        <f t="shared" si="8"/>
        <v>0.31364558823529409</v>
      </c>
      <c r="AC140" s="501">
        <f t="shared" si="8"/>
        <v>7.595357142857144E-2</v>
      </c>
      <c r="AD140" s="501">
        <f t="shared" si="8"/>
        <v>5.0842241379310343E-2</v>
      </c>
      <c r="AE140" s="501">
        <f t="shared" si="8"/>
        <v>1.3570190641247835E-2</v>
      </c>
      <c r="AF140" t="s">
        <v>58</v>
      </c>
    </row>
    <row r="141" spans="18:32" x14ac:dyDescent="0.3">
      <c r="R141" s="401" t="s">
        <v>367</v>
      </c>
      <c r="S141" s="501">
        <f>(S117*1.125)/S126</f>
        <v>0.10227753036437247</v>
      </c>
      <c r="T141" s="501">
        <f t="shared" ref="T141:AE141" si="9">(T117*1.125)/T126</f>
        <v>5.5243125000000004E-2</v>
      </c>
      <c r="U141" s="501">
        <f t="shared" si="9"/>
        <v>8.5939156626506016E-2</v>
      </c>
      <c r="V141" s="501">
        <f t="shared" si="9"/>
        <v>0.43859981796116504</v>
      </c>
      <c r="W141" s="501">
        <f t="shared" si="9"/>
        <v>0.21239648437499997</v>
      </c>
      <c r="X141" s="501">
        <f t="shared" si="9"/>
        <v>0.21870461200585653</v>
      </c>
      <c r="Y141" s="501">
        <f t="shared" si="9"/>
        <v>1.3496686303387333E-2</v>
      </c>
      <c r="Z141" s="501">
        <f t="shared" si="9"/>
        <v>8.2672910662824205E-4</v>
      </c>
      <c r="AA141" s="501">
        <f t="shared" si="9"/>
        <v>0.10088108974358972</v>
      </c>
      <c r="AB141" s="501">
        <f t="shared" si="9"/>
        <v>0.14516029411764708</v>
      </c>
      <c r="AC141" s="501">
        <f t="shared" si="9"/>
        <v>0.56278317857142846</v>
      </c>
      <c r="AD141" s="501">
        <f t="shared" si="9"/>
        <v>0.33328448275862071</v>
      </c>
      <c r="AE141" s="501">
        <f t="shared" si="9"/>
        <v>0.12059337088388215</v>
      </c>
      <c r="AF141" t="s">
        <v>58</v>
      </c>
    </row>
    <row r="142" spans="18:32" x14ac:dyDescent="0.3">
      <c r="R142" s="7" t="s">
        <v>370</v>
      </c>
      <c r="S142" s="501"/>
      <c r="T142" s="71"/>
      <c r="U142" s="71"/>
      <c r="V142" s="71"/>
      <c r="W142" s="71"/>
      <c r="X142" s="71"/>
      <c r="Y142" s="71"/>
      <c r="Z142" s="71"/>
      <c r="AA142" s="71"/>
      <c r="AB142" s="71"/>
      <c r="AC142" s="71"/>
      <c r="AD142" s="71"/>
      <c r="AE142" s="502"/>
    </row>
    <row r="143" spans="18:32" x14ac:dyDescent="0.3">
      <c r="R143" t="s">
        <v>376</v>
      </c>
      <c r="S143" s="501"/>
      <c r="T143" s="71"/>
      <c r="U143" s="71"/>
      <c r="V143" s="71"/>
      <c r="W143" s="71"/>
      <c r="X143" s="71"/>
      <c r="Y143" s="71"/>
      <c r="Z143" s="71"/>
      <c r="AA143" s="71"/>
      <c r="AB143" s="71"/>
      <c r="AC143" s="71"/>
      <c r="AD143" s="71"/>
      <c r="AE143" s="502"/>
    </row>
    <row r="144" spans="18:32" x14ac:dyDescent="0.3">
      <c r="R144" s="318" t="s">
        <v>81</v>
      </c>
      <c r="S144" s="540">
        <f>(S120*1.125)/S126</f>
        <v>3.2064777327935223E-2</v>
      </c>
      <c r="T144" s="540">
        <f t="shared" ref="T144:AE144" si="10">(T120*1.125)/T126</f>
        <v>8.9062500000000003E-2</v>
      </c>
      <c r="U144" s="540">
        <f t="shared" si="10"/>
        <v>7.8614457831325299E-2</v>
      </c>
      <c r="V144" s="540">
        <f t="shared" si="10"/>
        <v>9.0928398058252424E-2</v>
      </c>
      <c r="W144" s="540">
        <f t="shared" si="10"/>
        <v>6.8203125000000003E-2</v>
      </c>
      <c r="X144" s="540">
        <f t="shared" si="10"/>
        <v>4.4472913616398241E-2</v>
      </c>
      <c r="Y144" s="540">
        <f t="shared" si="10"/>
        <v>3.3136966126656849E-2</v>
      </c>
      <c r="Z144" s="540">
        <f t="shared" si="10"/>
        <v>2.2532420749279539E-2</v>
      </c>
      <c r="AA144" s="540">
        <f t="shared" si="10"/>
        <v>3.9967948717948718E-2</v>
      </c>
      <c r="AB144" s="540">
        <f t="shared" si="10"/>
        <v>5.8323529411764705E-2</v>
      </c>
      <c r="AC144" s="540">
        <f t="shared" si="10"/>
        <v>3.0921428571428575E-2</v>
      </c>
      <c r="AD144" s="540">
        <f t="shared" si="10"/>
        <v>2.3922413793103448E-2</v>
      </c>
      <c r="AE144" s="540">
        <f t="shared" si="10"/>
        <v>4.1997400346620452E-2</v>
      </c>
      <c r="AF144" s="318" t="s">
        <v>70</v>
      </c>
    </row>
    <row r="145" spans="18:32" x14ac:dyDescent="0.3">
      <c r="R145" s="19" t="s">
        <v>388</v>
      </c>
      <c r="S145" s="501"/>
      <c r="T145" s="71"/>
      <c r="U145" s="71"/>
      <c r="V145" s="71"/>
      <c r="W145" s="71"/>
      <c r="X145" s="71"/>
      <c r="Y145" s="71"/>
      <c r="Z145" s="71"/>
      <c r="AA145" s="71"/>
      <c r="AB145" s="71"/>
      <c r="AC145" s="71"/>
      <c r="AD145" s="71"/>
      <c r="AE145" s="502"/>
    </row>
    <row r="146" spans="18:32" x14ac:dyDescent="0.3">
      <c r="R146" s="19" t="s">
        <v>395</v>
      </c>
      <c r="S146" s="501"/>
      <c r="T146" s="71"/>
      <c r="U146" s="71"/>
      <c r="V146" s="71"/>
      <c r="W146" s="71"/>
      <c r="X146" s="71"/>
      <c r="Y146" s="71"/>
      <c r="Z146" s="71"/>
      <c r="AA146" s="71"/>
      <c r="AB146" s="71"/>
      <c r="AC146" s="71"/>
      <c r="AD146" s="71"/>
      <c r="AE146" s="502"/>
    </row>
    <row r="147" spans="18:32" x14ac:dyDescent="0.3">
      <c r="S147" s="504"/>
      <c r="T147" s="321"/>
      <c r="U147" s="321"/>
      <c r="V147" s="321"/>
      <c r="W147" s="321"/>
      <c r="X147" s="321"/>
      <c r="Y147" s="321"/>
      <c r="Z147" s="321"/>
      <c r="AA147" s="321"/>
      <c r="AB147" s="321"/>
      <c r="AC147" s="321"/>
      <c r="AD147" s="321"/>
      <c r="AE147" s="505"/>
    </row>
    <row r="148" spans="18:32" x14ac:dyDescent="0.3">
      <c r="R148" s="472" t="s">
        <v>83</v>
      </c>
      <c r="S148" s="497" t="s">
        <v>327</v>
      </c>
      <c r="T148" s="497" t="s">
        <v>328</v>
      </c>
      <c r="U148" s="497" t="s">
        <v>329</v>
      </c>
      <c r="V148" s="497" t="s">
        <v>330</v>
      </c>
      <c r="W148" s="497" t="s">
        <v>331</v>
      </c>
      <c r="X148" s="497" t="s">
        <v>332</v>
      </c>
      <c r="Y148" s="497" t="s">
        <v>333</v>
      </c>
      <c r="Z148" s="497" t="s">
        <v>334</v>
      </c>
      <c r="AA148" s="497" t="s">
        <v>341</v>
      </c>
      <c r="AB148" s="497" t="s">
        <v>342</v>
      </c>
      <c r="AC148" s="497" t="s">
        <v>343</v>
      </c>
      <c r="AD148" s="497" t="s">
        <v>344</v>
      </c>
      <c r="AE148" s="497" t="s">
        <v>337</v>
      </c>
    </row>
    <row r="149" spans="18:32" x14ac:dyDescent="0.3">
      <c r="R149" s="28" t="s">
        <v>520</v>
      </c>
      <c r="S149" s="368">
        <v>6.1749999999999998</v>
      </c>
      <c r="T149" s="368">
        <v>6</v>
      </c>
      <c r="U149" s="368">
        <v>8.3000000000000007</v>
      </c>
      <c r="V149" s="368">
        <v>4.12</v>
      </c>
      <c r="W149" s="368">
        <v>3.2</v>
      </c>
      <c r="X149" s="368">
        <v>6.83</v>
      </c>
      <c r="Y149" s="368">
        <v>6.79</v>
      </c>
      <c r="Z149" s="368">
        <v>6.94</v>
      </c>
      <c r="AA149" s="368">
        <v>3.51</v>
      </c>
      <c r="AB149" s="368">
        <v>2.5499999999999998</v>
      </c>
      <c r="AC149" s="368">
        <v>3.5</v>
      </c>
      <c r="AD149" s="368">
        <v>4.3499999999999996</v>
      </c>
      <c r="AE149" s="368">
        <v>5.77</v>
      </c>
    </row>
    <row r="150" spans="18:32" x14ac:dyDescent="0.3">
      <c r="R150" s="24" t="s">
        <v>406</v>
      </c>
      <c r="S150" s="509">
        <v>6175</v>
      </c>
      <c r="T150" s="509">
        <v>6000</v>
      </c>
      <c r="U150" s="509">
        <v>8300</v>
      </c>
      <c r="V150" s="509">
        <v>4120</v>
      </c>
      <c r="W150" s="509">
        <v>3200</v>
      </c>
      <c r="X150" s="509">
        <v>6830</v>
      </c>
      <c r="Y150" s="509">
        <v>6790</v>
      </c>
      <c r="Z150" s="509">
        <v>6940</v>
      </c>
      <c r="AA150" s="509">
        <v>3510</v>
      </c>
      <c r="AB150" s="509">
        <v>2550</v>
      </c>
      <c r="AC150" s="509">
        <v>3500</v>
      </c>
      <c r="AD150" s="509">
        <v>4350</v>
      </c>
      <c r="AE150" s="509">
        <v>5770</v>
      </c>
    </row>
    <row r="152" spans="18:32" x14ac:dyDescent="0.3">
      <c r="R152" s="131" t="s">
        <v>572</v>
      </c>
    </row>
    <row r="153" spans="18:32" x14ac:dyDescent="0.3">
      <c r="R153" s="477" t="s">
        <v>573</v>
      </c>
    </row>
    <row r="154" spans="18:32" x14ac:dyDescent="0.3">
      <c r="R154" s="319" t="s">
        <v>437</v>
      </c>
      <c r="S154" s="31"/>
    </row>
    <row r="155" spans="18:32" x14ac:dyDescent="0.3">
      <c r="R155" s="318" t="s">
        <v>81</v>
      </c>
      <c r="S155" s="541">
        <f>S144*0.85</f>
        <v>2.725506072874494E-2</v>
      </c>
      <c r="T155" s="541">
        <f t="shared" ref="T155:AE155" si="11">T144*0.85</f>
        <v>7.5703124999999996E-2</v>
      </c>
      <c r="U155" s="541">
        <f t="shared" si="11"/>
        <v>6.6822289156626496E-2</v>
      </c>
      <c r="V155" s="541">
        <f t="shared" si="11"/>
        <v>7.7289138349514563E-2</v>
      </c>
      <c r="W155" s="541">
        <f t="shared" si="11"/>
        <v>5.7972656250000004E-2</v>
      </c>
      <c r="X155" s="541">
        <f t="shared" si="11"/>
        <v>3.7801976573938502E-2</v>
      </c>
      <c r="Y155" s="541">
        <f t="shared" si="11"/>
        <v>2.8166421207658322E-2</v>
      </c>
      <c r="Z155" s="541">
        <f t="shared" si="11"/>
        <v>1.9152557636887606E-2</v>
      </c>
      <c r="AA155" s="541">
        <f t="shared" si="11"/>
        <v>3.3972756410256412E-2</v>
      </c>
      <c r="AB155" s="541">
        <f t="shared" si="11"/>
        <v>4.9575000000000001E-2</v>
      </c>
      <c r="AC155" s="541">
        <f t="shared" si="11"/>
        <v>2.6283214285714288E-2</v>
      </c>
      <c r="AD155" s="541">
        <f t="shared" si="11"/>
        <v>2.0334051724137929E-2</v>
      </c>
      <c r="AE155" s="541">
        <f t="shared" si="11"/>
        <v>3.5697790294627385E-2</v>
      </c>
      <c r="AF155" s="318" t="s">
        <v>361</v>
      </c>
    </row>
  </sheetData>
  <mergeCells count="15">
    <mergeCell ref="S131:AE131"/>
    <mergeCell ref="S132:AE132"/>
    <mergeCell ref="U128:AA128"/>
    <mergeCell ref="AB128:AE129"/>
    <mergeCell ref="AK2:AL2"/>
    <mergeCell ref="S103:T103"/>
    <mergeCell ref="M23:N23"/>
    <mergeCell ref="AM3:AY3"/>
    <mergeCell ref="AJ1:BE1"/>
    <mergeCell ref="AT2:AY2"/>
    <mergeCell ref="S108:AE108"/>
    <mergeCell ref="S107:AE107"/>
    <mergeCell ref="R94:R97"/>
    <mergeCell ref="Q60:AF65"/>
    <mergeCell ref="S3:AE3"/>
  </mergeCells>
  <hyperlinks>
    <hyperlink ref="R2" r:id="rId1" xr:uid="{7C38DB62-9913-4DE5-8CA2-EEA2D496DC1A}"/>
  </hyperlinks>
  <pageMargins left="0.7" right="0.7" top="0.75" bottom="0.75" header="0.3" footer="0.3"/>
  <drawing r:id="rId2"/>
  <legacyDrawing r:id="rId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14B6F3-C7C7-480C-B0CD-69AE1477783C}">
  <dimension ref="A1:AL33"/>
  <sheetViews>
    <sheetView topLeftCell="W14" workbookViewId="0">
      <selection activeCell="AB12" sqref="AB12"/>
    </sheetView>
  </sheetViews>
  <sheetFormatPr defaultRowHeight="14.4" x14ac:dyDescent="0.3"/>
  <cols>
    <col min="1" max="1" width="21" customWidth="1"/>
    <col min="2" max="2" width="23.6640625" customWidth="1"/>
    <col min="3" max="3" width="42" customWidth="1"/>
    <col min="4" max="4" width="9.33203125" bestFit="1" customWidth="1"/>
    <col min="6" max="14" width="9.109375" customWidth="1"/>
    <col min="15" max="15" width="5.88671875" style="60" customWidth="1"/>
    <col min="16" max="16" width="3.44140625" customWidth="1"/>
    <col min="17" max="17" width="20" customWidth="1"/>
    <col min="18" max="18" width="26.5546875" customWidth="1"/>
    <col min="19" max="24" width="9.109375" customWidth="1"/>
    <col min="25" max="25" width="9.109375" style="60" customWidth="1"/>
    <col min="26" max="26" width="3.109375" customWidth="1"/>
    <col min="27" max="27" width="20" bestFit="1" customWidth="1"/>
    <col min="28" max="28" width="23.6640625" customWidth="1"/>
    <col min="29" max="29" width="16.44140625" customWidth="1"/>
    <col min="30" max="30" width="10.5546875" customWidth="1"/>
    <col min="31" max="31" width="9.44140625" customWidth="1"/>
    <col min="32" max="32" width="10" customWidth="1"/>
    <col min="33" max="33" width="4.88671875" customWidth="1"/>
  </cols>
  <sheetData>
    <row r="1" spans="1:38" ht="15.75" customHeight="1" x14ac:dyDescent="0.3">
      <c r="A1" t="s">
        <v>302</v>
      </c>
      <c r="B1" t="s">
        <v>303</v>
      </c>
      <c r="C1" s="319" t="s">
        <v>574</v>
      </c>
      <c r="R1" t="s">
        <v>304</v>
      </c>
      <c r="S1" s="264" t="s">
        <v>314</v>
      </c>
      <c r="T1" s="265"/>
      <c r="AB1" s="687" t="s">
        <v>575</v>
      </c>
      <c r="AC1" s="687"/>
      <c r="AD1" s="687"/>
      <c r="AE1" s="687"/>
      <c r="AF1" s="687"/>
      <c r="AG1" s="687"/>
      <c r="AH1" s="687"/>
      <c r="AI1" s="687"/>
      <c r="AJ1" s="687"/>
      <c r="AK1" s="687"/>
      <c r="AL1" s="687"/>
    </row>
    <row r="2" spans="1:38" x14ac:dyDescent="0.3">
      <c r="A2" s="77" t="s">
        <v>310</v>
      </c>
      <c r="B2" s="81" t="s">
        <v>311</v>
      </c>
      <c r="Q2" s="83" t="s">
        <v>576</v>
      </c>
      <c r="R2" s="697" t="s">
        <v>312</v>
      </c>
      <c r="S2" s="697"/>
      <c r="T2" s="697"/>
      <c r="U2" s="697"/>
      <c r="V2" s="697"/>
      <c r="W2" s="697"/>
      <c r="X2" s="697"/>
      <c r="AB2" s="7" t="s">
        <v>577</v>
      </c>
      <c r="AD2" s="688" t="s">
        <v>314</v>
      </c>
      <c r="AE2" s="688"/>
    </row>
    <row r="3" spans="1:38" x14ac:dyDescent="0.3">
      <c r="A3" s="79"/>
      <c r="C3" s="83" t="s">
        <v>578</v>
      </c>
      <c r="Q3" s="83"/>
      <c r="R3" s="697"/>
      <c r="S3" s="697"/>
      <c r="T3" s="697"/>
      <c r="U3" s="697"/>
      <c r="V3" s="697"/>
      <c r="W3" s="697"/>
      <c r="X3" s="697"/>
      <c r="AC3" s="275" t="s">
        <v>303</v>
      </c>
      <c r="AD3" s="689" t="s">
        <v>304</v>
      </c>
      <c r="AE3" s="690"/>
      <c r="AF3" s="690"/>
      <c r="AG3" s="40"/>
    </row>
    <row r="4" spans="1:38" ht="15.6" x14ac:dyDescent="0.3">
      <c r="A4" s="7" t="s">
        <v>317</v>
      </c>
      <c r="B4" s="7" t="s">
        <v>579</v>
      </c>
      <c r="C4" s="23" t="s">
        <v>318</v>
      </c>
      <c r="D4" s="23" t="s">
        <v>247</v>
      </c>
      <c r="E4" s="23" t="s">
        <v>55</v>
      </c>
      <c r="F4" s="7"/>
      <c r="G4" s="7"/>
      <c r="H4" s="7"/>
      <c r="I4" s="7"/>
      <c r="J4" s="7"/>
      <c r="K4" s="7"/>
      <c r="L4" s="7"/>
      <c r="M4" s="7"/>
      <c r="N4" s="7"/>
      <c r="O4" s="255"/>
      <c r="S4" s="692" t="s">
        <v>580</v>
      </c>
      <c r="T4" s="692"/>
      <c r="U4" s="692"/>
      <c r="AA4" s="691" t="s">
        <v>54</v>
      </c>
      <c r="AB4" s="691"/>
      <c r="AC4" s="353" t="s">
        <v>581</v>
      </c>
      <c r="AD4" s="44" t="s">
        <v>582</v>
      </c>
      <c r="AE4" s="44" t="s">
        <v>583</v>
      </c>
      <c r="AF4" s="44" t="s">
        <v>584</v>
      </c>
      <c r="AG4" s="355" t="s">
        <v>222</v>
      </c>
      <c r="AH4" s="234" t="s">
        <v>345</v>
      </c>
      <c r="AI4" s="234" t="s">
        <v>346</v>
      </c>
      <c r="AJ4" s="356" t="s">
        <v>347</v>
      </c>
      <c r="AK4" s="234" t="s">
        <v>348</v>
      </c>
      <c r="AL4" s="253" t="s">
        <v>55</v>
      </c>
    </row>
    <row r="5" spans="1:38" x14ac:dyDescent="0.3">
      <c r="A5" s="694" t="s">
        <v>585</v>
      </c>
      <c r="B5" s="327" t="s">
        <v>586</v>
      </c>
      <c r="C5" s="318" t="s">
        <v>586</v>
      </c>
      <c r="D5" s="320">
        <f>(0.75*1)/0.7</f>
        <v>1.0714285714285714</v>
      </c>
      <c r="E5" s="318" t="s">
        <v>361</v>
      </c>
      <c r="F5" s="7"/>
      <c r="G5" s="7"/>
      <c r="H5" s="7"/>
      <c r="I5" s="7"/>
      <c r="J5" s="7"/>
      <c r="K5" s="7"/>
      <c r="L5" s="7"/>
      <c r="M5" s="7"/>
      <c r="N5" s="7"/>
      <c r="O5" s="255"/>
      <c r="Q5" s="258" t="s">
        <v>317</v>
      </c>
      <c r="R5" s="23" t="s">
        <v>318</v>
      </c>
      <c r="S5" s="44" t="s">
        <v>582</v>
      </c>
      <c r="T5" s="44" t="s">
        <v>583</v>
      </c>
      <c r="U5" s="44" t="s">
        <v>584</v>
      </c>
      <c r="V5" s="23" t="s">
        <v>55</v>
      </c>
      <c r="AA5" s="7" t="s">
        <v>587</v>
      </c>
      <c r="AB5" t="s">
        <v>588</v>
      </c>
      <c r="AC5" s="298"/>
      <c r="AD5" s="275">
        <v>67.5</v>
      </c>
      <c r="AE5" s="3">
        <v>97.8</v>
      </c>
      <c r="AF5" s="3">
        <v>56.3</v>
      </c>
      <c r="AG5" s="344">
        <v>3</v>
      </c>
      <c r="AH5" s="3">
        <f t="shared" ref="AH5:AH10" si="0">MIN(AC5:AF5)</f>
        <v>56.3</v>
      </c>
      <c r="AI5" s="3">
        <f t="shared" ref="AI5:AI10" si="1">MAX(AC5:AF5)</f>
        <v>97.8</v>
      </c>
      <c r="AJ5" s="411">
        <f t="shared" ref="AJ5:AJ10" si="2">AVERAGE(AC5:AF5)</f>
        <v>73.866666666666674</v>
      </c>
      <c r="AK5" s="347">
        <f>STDEV(AC5:AF5)</f>
        <v>21.470056668144366</v>
      </c>
      <c r="AL5" t="s">
        <v>82</v>
      </c>
    </row>
    <row r="6" spans="1:38" x14ac:dyDescent="0.3">
      <c r="A6" s="695"/>
      <c r="B6" s="323" t="s">
        <v>589</v>
      </c>
      <c r="C6" s="395" t="s">
        <v>376</v>
      </c>
      <c r="D6" s="396">
        <v>3.7799999999999999E-3</v>
      </c>
      <c r="E6" s="395" t="s">
        <v>76</v>
      </c>
      <c r="F6" s="402">
        <f>D6*1000</f>
        <v>3.78</v>
      </c>
      <c r="G6" s="401" t="s">
        <v>590</v>
      </c>
      <c r="Q6" s="138" t="s">
        <v>54</v>
      </c>
      <c r="R6" s="28"/>
      <c r="S6" s="28"/>
      <c r="T6" s="28"/>
      <c r="U6" s="28"/>
      <c r="V6" s="28"/>
      <c r="AB6" t="s">
        <v>591</v>
      </c>
      <c r="AC6" s="298"/>
      <c r="AD6" s="275">
        <v>3</v>
      </c>
      <c r="AE6" s="3"/>
      <c r="AF6" s="3"/>
      <c r="AG6" s="344">
        <v>1</v>
      </c>
      <c r="AH6" s="3">
        <f t="shared" si="0"/>
        <v>3</v>
      </c>
      <c r="AI6" s="3">
        <f t="shared" si="1"/>
        <v>3</v>
      </c>
      <c r="AJ6" s="411">
        <f t="shared" si="2"/>
        <v>3</v>
      </c>
      <c r="AK6" s="347"/>
      <c r="AL6" t="s">
        <v>88</v>
      </c>
    </row>
    <row r="7" spans="1:38" x14ac:dyDescent="0.3">
      <c r="A7" s="695"/>
      <c r="B7" t="s">
        <v>592</v>
      </c>
      <c r="C7" s="397" t="s">
        <v>376</v>
      </c>
      <c r="D7" s="398">
        <v>1.17E-2</v>
      </c>
      <c r="E7" s="397" t="s">
        <v>76</v>
      </c>
      <c r="F7" s="402">
        <f>D7*1000</f>
        <v>11.700000000000001</v>
      </c>
      <c r="G7" s="401" t="s">
        <v>590</v>
      </c>
      <c r="Q7" s="7" t="s">
        <v>587</v>
      </c>
      <c r="R7" t="s">
        <v>588</v>
      </c>
      <c r="S7" s="3">
        <v>67.5</v>
      </c>
      <c r="T7" s="3">
        <v>97.8</v>
      </c>
      <c r="U7" s="3">
        <v>56.3</v>
      </c>
      <c r="V7" t="s">
        <v>82</v>
      </c>
      <c r="AB7" s="7" t="s">
        <v>593</v>
      </c>
      <c r="AC7" s="394">
        <v>18.8</v>
      </c>
      <c r="AD7" s="275">
        <v>225</v>
      </c>
      <c r="AE7" s="3">
        <v>130</v>
      </c>
      <c r="AF7" s="3"/>
      <c r="AG7" s="344">
        <v>3</v>
      </c>
      <c r="AH7" s="3">
        <f t="shared" si="0"/>
        <v>18.8</v>
      </c>
      <c r="AI7" s="3">
        <f t="shared" si="1"/>
        <v>225</v>
      </c>
      <c r="AJ7" s="411">
        <f t="shared" si="2"/>
        <v>124.60000000000001</v>
      </c>
      <c r="AK7" s="347">
        <f>STDEV(AC7:AF7)</f>
        <v>103.20600757707857</v>
      </c>
      <c r="AL7" t="s">
        <v>82</v>
      </c>
    </row>
    <row r="8" spans="1:38" x14ac:dyDescent="0.3">
      <c r="A8" s="695"/>
      <c r="C8" s="7" t="s">
        <v>593</v>
      </c>
      <c r="D8" s="326">
        <v>1.88E-5</v>
      </c>
      <c r="E8" s="7" t="s">
        <v>58</v>
      </c>
      <c r="F8" s="325">
        <f>D8*1000000</f>
        <v>18.8</v>
      </c>
      <c r="G8" s="7" t="s">
        <v>82</v>
      </c>
      <c r="R8" t="s">
        <v>591</v>
      </c>
      <c r="S8" s="3">
        <v>3</v>
      </c>
      <c r="T8" s="3"/>
      <c r="U8" s="3"/>
      <c r="V8" t="s">
        <v>88</v>
      </c>
      <c r="AB8" t="s">
        <v>594</v>
      </c>
      <c r="AC8" s="298"/>
      <c r="AD8" s="275">
        <v>37.5</v>
      </c>
      <c r="AE8" s="3"/>
      <c r="AF8" s="3"/>
      <c r="AG8" s="344">
        <v>1</v>
      </c>
      <c r="AH8" s="3">
        <f t="shared" si="0"/>
        <v>37.5</v>
      </c>
      <c r="AI8" s="3">
        <f t="shared" si="1"/>
        <v>37.5</v>
      </c>
      <c r="AJ8" s="411">
        <f t="shared" si="2"/>
        <v>37.5</v>
      </c>
      <c r="AK8" s="347"/>
      <c r="AL8" t="s">
        <v>82</v>
      </c>
    </row>
    <row r="9" spans="1:38" ht="28.8" x14ac:dyDescent="0.3">
      <c r="A9" s="695"/>
      <c r="B9" t="s">
        <v>595</v>
      </c>
      <c r="C9" t="s">
        <v>596</v>
      </c>
      <c r="D9" s="71">
        <v>0.05</v>
      </c>
      <c r="E9" t="s">
        <v>58</v>
      </c>
      <c r="F9" s="9" t="s">
        <v>215</v>
      </c>
      <c r="R9" s="7" t="s">
        <v>593</v>
      </c>
      <c r="S9" s="3">
        <v>225</v>
      </c>
      <c r="T9" s="3">
        <v>130</v>
      </c>
      <c r="U9" s="3"/>
      <c r="V9" t="s">
        <v>82</v>
      </c>
      <c r="AB9" t="s">
        <v>597</v>
      </c>
      <c r="AC9" s="298"/>
      <c r="AD9" s="275">
        <v>37.5</v>
      </c>
      <c r="AE9" s="3"/>
      <c r="AF9" s="3"/>
      <c r="AG9" s="344">
        <v>1</v>
      </c>
      <c r="AH9" s="3">
        <f t="shared" si="0"/>
        <v>37.5</v>
      </c>
      <c r="AI9" s="3">
        <f t="shared" si="1"/>
        <v>37.5</v>
      </c>
      <c r="AJ9" s="411">
        <f t="shared" si="2"/>
        <v>37.5</v>
      </c>
      <c r="AK9" s="347"/>
      <c r="AL9" t="s">
        <v>82</v>
      </c>
    </row>
    <row r="10" spans="1:38" x14ac:dyDescent="0.3">
      <c r="A10" s="695"/>
      <c r="C10" t="s">
        <v>598</v>
      </c>
      <c r="D10" s="71">
        <v>4.2599999999999999E-2</v>
      </c>
      <c r="E10" t="s">
        <v>374</v>
      </c>
      <c r="R10" t="s">
        <v>594</v>
      </c>
      <c r="S10" s="3">
        <v>37.5</v>
      </c>
      <c r="T10" s="3"/>
      <c r="U10" s="3"/>
      <c r="V10" t="s">
        <v>82</v>
      </c>
      <c r="AB10" t="s">
        <v>599</v>
      </c>
      <c r="AC10" s="298"/>
      <c r="AD10" s="275">
        <v>0.75</v>
      </c>
      <c r="AE10" s="3"/>
      <c r="AF10" s="3"/>
      <c r="AG10" s="344">
        <v>1</v>
      </c>
      <c r="AH10" s="3">
        <f t="shared" si="0"/>
        <v>0.75</v>
      </c>
      <c r="AI10" s="3">
        <f t="shared" si="1"/>
        <v>0.75</v>
      </c>
      <c r="AJ10" s="411">
        <f t="shared" si="2"/>
        <v>0.75</v>
      </c>
      <c r="AK10" s="347"/>
      <c r="AL10" t="s">
        <v>82</v>
      </c>
    </row>
    <row r="11" spans="1:38" x14ac:dyDescent="0.3">
      <c r="A11" s="695"/>
      <c r="B11" t="s">
        <v>600</v>
      </c>
      <c r="C11" s="7" t="s">
        <v>601</v>
      </c>
      <c r="D11" s="326">
        <v>4.4999999999999999E-4</v>
      </c>
      <c r="E11" s="7" t="s">
        <v>58</v>
      </c>
      <c r="F11" s="388">
        <f>D11*1000000</f>
        <v>450</v>
      </c>
      <c r="G11" s="7" t="s">
        <v>82</v>
      </c>
      <c r="R11" t="s">
        <v>597</v>
      </c>
      <c r="S11" s="3">
        <v>37.5</v>
      </c>
      <c r="T11" s="3"/>
      <c r="U11" s="3"/>
      <c r="V11" t="s">
        <v>82</v>
      </c>
      <c r="AB11" t="s">
        <v>602</v>
      </c>
      <c r="AC11" s="298"/>
      <c r="AD11" s="275"/>
      <c r="AE11" s="3"/>
      <c r="AF11" s="3"/>
      <c r="AG11" s="344"/>
      <c r="AH11" s="3"/>
      <c r="AI11" s="3"/>
      <c r="AJ11" s="411"/>
      <c r="AK11" s="347"/>
      <c r="AL11" t="s">
        <v>82</v>
      </c>
    </row>
    <row r="12" spans="1:38" x14ac:dyDescent="0.3">
      <c r="A12" s="696"/>
      <c r="B12" s="210" t="s">
        <v>603</v>
      </c>
      <c r="C12" s="399" t="s">
        <v>604</v>
      </c>
      <c r="D12" s="400">
        <v>1.5399999999999999E-3</v>
      </c>
      <c r="E12" s="399" t="s">
        <v>76</v>
      </c>
      <c r="F12" s="402">
        <f>D12*1000</f>
        <v>1.5399999999999998</v>
      </c>
      <c r="G12" s="401" t="s">
        <v>590</v>
      </c>
      <c r="R12" t="s">
        <v>599</v>
      </c>
      <c r="S12" s="3">
        <v>0.75</v>
      </c>
      <c r="T12" s="3"/>
      <c r="U12" s="3"/>
      <c r="V12" t="s">
        <v>82</v>
      </c>
      <c r="AB12" t="s">
        <v>605</v>
      </c>
      <c r="AC12" s="298"/>
      <c r="AD12" s="275"/>
      <c r="AE12" s="3"/>
      <c r="AF12" s="3"/>
      <c r="AG12" s="344"/>
      <c r="AH12" s="3"/>
      <c r="AI12" s="3"/>
      <c r="AJ12" s="411"/>
      <c r="AK12" s="347"/>
      <c r="AL12" t="s">
        <v>82</v>
      </c>
    </row>
    <row r="13" spans="1:38" x14ac:dyDescent="0.3">
      <c r="A13" s="694" t="s">
        <v>606</v>
      </c>
      <c r="B13" t="s">
        <v>606</v>
      </c>
      <c r="C13" t="s">
        <v>607</v>
      </c>
      <c r="D13" s="71">
        <v>0.57999999999999996</v>
      </c>
      <c r="E13" t="s">
        <v>58</v>
      </c>
      <c r="R13" t="s">
        <v>602</v>
      </c>
      <c r="S13" s="3"/>
      <c r="T13" s="3"/>
      <c r="U13" s="3"/>
      <c r="V13" t="s">
        <v>82</v>
      </c>
      <c r="AB13" t="s">
        <v>608</v>
      </c>
      <c r="AC13" s="298"/>
      <c r="AD13" s="275"/>
      <c r="AE13" s="3">
        <v>326</v>
      </c>
      <c r="AF13" s="3"/>
      <c r="AG13" s="344">
        <v>1</v>
      </c>
      <c r="AH13" s="3">
        <f>MIN(AC13:AF13)</f>
        <v>326</v>
      </c>
      <c r="AI13" s="3">
        <f>MAX(AC13:AF13)</f>
        <v>326</v>
      </c>
      <c r="AJ13" s="411">
        <f>AVERAGE(AC13:AF13)</f>
        <v>326</v>
      </c>
      <c r="AK13" s="347"/>
      <c r="AL13" t="s">
        <v>82</v>
      </c>
    </row>
    <row r="14" spans="1:38" x14ac:dyDescent="0.3">
      <c r="A14" s="695"/>
      <c r="C14" t="s">
        <v>609</v>
      </c>
      <c r="D14" s="71">
        <v>4.15E-3</v>
      </c>
      <c r="E14" t="s">
        <v>58</v>
      </c>
      <c r="R14" t="s">
        <v>605</v>
      </c>
      <c r="S14" s="3"/>
      <c r="T14" s="3"/>
      <c r="U14" s="3"/>
      <c r="V14" t="s">
        <v>82</v>
      </c>
      <c r="AB14" t="s">
        <v>610</v>
      </c>
      <c r="AC14" s="298"/>
      <c r="AD14" s="275"/>
      <c r="AE14" s="40">
        <v>52.2</v>
      </c>
      <c r="AF14" s="3"/>
      <c r="AG14" s="344">
        <v>1</v>
      </c>
      <c r="AH14" s="3">
        <f>MIN(AC14:AF14)</f>
        <v>52.2</v>
      </c>
      <c r="AI14" s="3">
        <f>MAX(AC14:AF14)</f>
        <v>52.2</v>
      </c>
      <c r="AJ14" s="411">
        <f>AVERAGE(AC14:AF14)</f>
        <v>52.2</v>
      </c>
      <c r="AK14" s="347"/>
      <c r="AL14" t="s">
        <v>82</v>
      </c>
    </row>
    <row r="15" spans="1:38" x14ac:dyDescent="0.3">
      <c r="A15" s="695"/>
      <c r="C15" t="s">
        <v>611</v>
      </c>
      <c r="D15" s="71">
        <v>1.24E-3</v>
      </c>
      <c r="E15" t="s">
        <v>58</v>
      </c>
      <c r="R15" t="s">
        <v>608</v>
      </c>
      <c r="S15" s="3"/>
      <c r="T15" s="3">
        <v>326</v>
      </c>
      <c r="U15" s="3"/>
      <c r="V15" t="s">
        <v>82</v>
      </c>
      <c r="AB15" t="s">
        <v>612</v>
      </c>
      <c r="AC15" s="298"/>
      <c r="AD15" s="275"/>
      <c r="AE15" s="3">
        <v>7.85</v>
      </c>
      <c r="AF15" s="3"/>
      <c r="AG15" s="344">
        <v>1</v>
      </c>
      <c r="AH15" s="3">
        <f>MIN(AC15:AF15)</f>
        <v>7.85</v>
      </c>
      <c r="AI15" s="3">
        <f>MAX(AC15:AF15)</f>
        <v>7.85</v>
      </c>
      <c r="AJ15" s="411">
        <f>AVERAGE(AC15:AF15)</f>
        <v>7.85</v>
      </c>
      <c r="AK15" s="347"/>
      <c r="AL15" t="s">
        <v>82</v>
      </c>
    </row>
    <row r="16" spans="1:38" x14ac:dyDescent="0.3">
      <c r="A16" s="695"/>
      <c r="C16" t="s">
        <v>34</v>
      </c>
      <c r="D16" s="71">
        <v>1.4E-3</v>
      </c>
      <c r="E16" t="s">
        <v>58</v>
      </c>
      <c r="R16" t="s">
        <v>610</v>
      </c>
      <c r="S16" s="3"/>
      <c r="T16" s="40">
        <v>52.2</v>
      </c>
      <c r="U16" s="3"/>
      <c r="V16" t="s">
        <v>82</v>
      </c>
      <c r="AB16" t="s">
        <v>613</v>
      </c>
      <c r="AC16" s="298"/>
      <c r="AD16" s="275"/>
      <c r="AE16" s="3"/>
      <c r="AF16" s="3"/>
      <c r="AG16" s="344"/>
      <c r="AH16" s="3"/>
      <c r="AI16" s="3"/>
      <c r="AJ16" s="411"/>
      <c r="AK16" s="347"/>
      <c r="AL16" t="s">
        <v>82</v>
      </c>
    </row>
    <row r="17" spans="1:38" x14ac:dyDescent="0.3">
      <c r="A17" s="695"/>
      <c r="C17" t="s">
        <v>614</v>
      </c>
      <c r="D17" s="71">
        <v>9.9799999999999997E-4</v>
      </c>
      <c r="E17" t="s">
        <v>58</v>
      </c>
      <c r="R17" t="s">
        <v>612</v>
      </c>
      <c r="S17" s="3"/>
      <c r="T17" s="3">
        <v>7.85</v>
      </c>
      <c r="U17" s="3"/>
      <c r="V17" t="s">
        <v>82</v>
      </c>
      <c r="AB17" t="s">
        <v>615</v>
      </c>
      <c r="AC17" s="298"/>
      <c r="AD17" s="275"/>
      <c r="AE17" s="3"/>
      <c r="AF17" s="3">
        <v>188</v>
      </c>
      <c r="AG17" s="344">
        <v>1</v>
      </c>
      <c r="AH17" s="3">
        <f t="shared" ref="AH17:AH25" si="3">MIN(AC17:AF17)</f>
        <v>188</v>
      </c>
      <c r="AI17" s="3">
        <f t="shared" ref="AI17:AI25" si="4">MAX(AC17:AF17)</f>
        <v>188</v>
      </c>
      <c r="AJ17" s="411">
        <f t="shared" ref="AJ17:AJ25" si="5">AVERAGE(AC17:AF17)</f>
        <v>188</v>
      </c>
      <c r="AK17" s="347"/>
      <c r="AL17" t="s">
        <v>82</v>
      </c>
    </row>
    <row r="18" spans="1:38" x14ac:dyDescent="0.3">
      <c r="A18" s="695"/>
      <c r="C18" t="s">
        <v>36</v>
      </c>
      <c r="D18" s="71">
        <v>3.56E-2</v>
      </c>
      <c r="E18" t="s">
        <v>58</v>
      </c>
      <c r="R18" t="s">
        <v>613</v>
      </c>
      <c r="S18" s="3"/>
      <c r="T18" s="3"/>
      <c r="U18" s="3"/>
      <c r="V18" t="s">
        <v>82</v>
      </c>
      <c r="AB18" t="s">
        <v>616</v>
      </c>
      <c r="AC18" s="298"/>
      <c r="AD18" s="275"/>
      <c r="AE18" s="3"/>
      <c r="AF18" s="3">
        <v>93.8</v>
      </c>
      <c r="AG18" s="344">
        <v>1</v>
      </c>
      <c r="AH18" s="3">
        <f t="shared" si="3"/>
        <v>93.8</v>
      </c>
      <c r="AI18" s="3">
        <f t="shared" si="4"/>
        <v>93.8</v>
      </c>
      <c r="AJ18" s="411">
        <f t="shared" si="5"/>
        <v>93.8</v>
      </c>
      <c r="AK18" s="347"/>
      <c r="AL18" t="s">
        <v>82</v>
      </c>
    </row>
    <row r="19" spans="1:38" x14ac:dyDescent="0.3">
      <c r="A19" s="695"/>
      <c r="C19" t="s">
        <v>617</v>
      </c>
      <c r="D19" s="71">
        <v>0.214</v>
      </c>
      <c r="E19" t="s">
        <v>374</v>
      </c>
      <c r="R19" t="s">
        <v>615</v>
      </c>
      <c r="S19" s="3"/>
      <c r="T19" s="3"/>
      <c r="U19" s="3">
        <v>188</v>
      </c>
      <c r="V19" t="s">
        <v>82</v>
      </c>
      <c r="AB19" t="s">
        <v>618</v>
      </c>
      <c r="AC19" s="298"/>
      <c r="AD19" s="275">
        <v>97.9</v>
      </c>
      <c r="AE19" s="3"/>
      <c r="AF19" s="3"/>
      <c r="AG19" s="344">
        <v>1</v>
      </c>
      <c r="AH19" s="3">
        <f t="shared" si="3"/>
        <v>97.9</v>
      </c>
      <c r="AI19" s="3">
        <f t="shared" si="4"/>
        <v>97.9</v>
      </c>
      <c r="AJ19" s="411">
        <f t="shared" si="5"/>
        <v>97.9</v>
      </c>
      <c r="AK19" s="347"/>
      <c r="AL19" t="s">
        <v>88</v>
      </c>
    </row>
    <row r="20" spans="1:38" x14ac:dyDescent="0.3">
      <c r="A20" s="696"/>
      <c r="C20" t="s">
        <v>604</v>
      </c>
      <c r="D20" s="71">
        <v>1.08E-3</v>
      </c>
      <c r="E20" t="s">
        <v>76</v>
      </c>
      <c r="R20" t="s">
        <v>616</v>
      </c>
      <c r="S20" s="3"/>
      <c r="T20" s="3"/>
      <c r="U20" s="3">
        <v>93.8</v>
      </c>
      <c r="V20" t="s">
        <v>82</v>
      </c>
      <c r="AA20" s="210"/>
      <c r="AB20" s="210" t="s">
        <v>619</v>
      </c>
      <c r="AC20" s="339"/>
      <c r="AD20" s="277"/>
      <c r="AE20" s="209">
        <v>163</v>
      </c>
      <c r="AF20" s="209"/>
      <c r="AG20" s="346">
        <v>1</v>
      </c>
      <c r="AH20" s="209">
        <f t="shared" si="3"/>
        <v>163</v>
      </c>
      <c r="AI20" s="209">
        <f t="shared" si="4"/>
        <v>163</v>
      </c>
      <c r="AJ20" s="371">
        <f t="shared" si="5"/>
        <v>163</v>
      </c>
      <c r="AK20" s="404"/>
      <c r="AL20" s="210" t="s">
        <v>82</v>
      </c>
    </row>
    <row r="21" spans="1:38" x14ac:dyDescent="0.3">
      <c r="A21" s="322"/>
      <c r="B21" s="322"/>
      <c r="C21" s="23" t="s">
        <v>620</v>
      </c>
      <c r="D21" s="23" t="s">
        <v>247</v>
      </c>
      <c r="E21" s="23" t="s">
        <v>55</v>
      </c>
      <c r="F21" s="7"/>
      <c r="G21" s="7"/>
      <c r="H21" s="7"/>
      <c r="I21" s="7"/>
      <c r="J21" s="7"/>
      <c r="K21" s="7"/>
      <c r="L21" s="7"/>
      <c r="M21" s="7"/>
      <c r="N21" s="7"/>
      <c r="O21" s="255"/>
      <c r="R21" t="s">
        <v>618</v>
      </c>
      <c r="S21" s="3">
        <v>97.9</v>
      </c>
      <c r="T21" s="3"/>
      <c r="U21" s="3"/>
      <c r="V21" t="s">
        <v>88</v>
      </c>
      <c r="AA21" s="7" t="s">
        <v>621</v>
      </c>
      <c r="AB21" s="397" t="s">
        <v>376</v>
      </c>
      <c r="AC21" s="403">
        <f>F6+F7+F12</f>
        <v>17.02</v>
      </c>
      <c r="AD21" s="275">
        <v>47</v>
      </c>
      <c r="AE21" s="3">
        <v>56</v>
      </c>
      <c r="AF21" s="3">
        <v>38</v>
      </c>
      <c r="AG21" s="344" t="s">
        <v>622</v>
      </c>
      <c r="AH21" s="3">
        <f t="shared" si="3"/>
        <v>17.02</v>
      </c>
      <c r="AI21" s="3">
        <f t="shared" si="4"/>
        <v>56</v>
      </c>
      <c r="AJ21" s="411">
        <f t="shared" si="5"/>
        <v>39.504999999999995</v>
      </c>
      <c r="AK21" s="347">
        <f>STDEV(AC21:AF21)</f>
        <v>16.694313403072336</v>
      </c>
      <c r="AL21" t="s">
        <v>590</v>
      </c>
    </row>
    <row r="22" spans="1:38" x14ac:dyDescent="0.3">
      <c r="A22" s="343" t="s">
        <v>623</v>
      </c>
      <c r="B22" s="210" t="s">
        <v>624</v>
      </c>
      <c r="C22" s="210" t="s">
        <v>625</v>
      </c>
      <c r="D22" s="321">
        <v>0.23200000000000001</v>
      </c>
      <c r="E22" s="210" t="s">
        <v>58</v>
      </c>
      <c r="Q22" s="210"/>
      <c r="R22" s="210" t="s">
        <v>619</v>
      </c>
      <c r="S22" s="209"/>
      <c r="T22" s="209">
        <v>163</v>
      </c>
      <c r="U22" s="209"/>
      <c r="V22" s="210" t="s">
        <v>82</v>
      </c>
      <c r="AB22" t="s">
        <v>81</v>
      </c>
      <c r="AC22" s="298"/>
      <c r="AD22" s="275">
        <v>1.3</v>
      </c>
      <c r="AE22" s="3">
        <v>1.3</v>
      </c>
      <c r="AF22" s="3"/>
      <c r="AG22" s="344">
        <v>2</v>
      </c>
      <c r="AH22" s="3">
        <f t="shared" si="3"/>
        <v>1.3</v>
      </c>
      <c r="AI22" s="3">
        <f t="shared" si="4"/>
        <v>1.3</v>
      </c>
      <c r="AJ22" s="411">
        <f t="shared" si="5"/>
        <v>1.3</v>
      </c>
      <c r="AK22" s="347">
        <f>STDEV(AC22:AF22)</f>
        <v>0</v>
      </c>
      <c r="AL22" t="s">
        <v>254</v>
      </c>
    </row>
    <row r="23" spans="1:38" x14ac:dyDescent="0.3">
      <c r="A23" s="7"/>
      <c r="D23" s="71"/>
      <c r="Q23" s="7" t="s">
        <v>621</v>
      </c>
      <c r="R23" t="s">
        <v>376</v>
      </c>
      <c r="S23" s="3">
        <v>47</v>
      </c>
      <c r="T23" s="3">
        <v>56</v>
      </c>
      <c r="U23" s="3">
        <v>38</v>
      </c>
      <c r="V23" t="s">
        <v>590</v>
      </c>
      <c r="AA23" s="210"/>
      <c r="AB23" s="210" t="s">
        <v>626</v>
      </c>
      <c r="AC23" s="339"/>
      <c r="AD23" s="277"/>
      <c r="AE23" s="209">
        <v>49</v>
      </c>
      <c r="AF23" s="209"/>
      <c r="AG23" s="346">
        <v>1</v>
      </c>
      <c r="AH23" s="209">
        <f t="shared" si="3"/>
        <v>49</v>
      </c>
      <c r="AI23" s="209">
        <f t="shared" si="4"/>
        <v>49</v>
      </c>
      <c r="AJ23" s="371">
        <f t="shared" si="5"/>
        <v>49</v>
      </c>
      <c r="AK23" s="404"/>
      <c r="AL23" s="210" t="s">
        <v>627</v>
      </c>
    </row>
    <row r="24" spans="1:38" x14ac:dyDescent="0.3">
      <c r="A24" s="7"/>
      <c r="D24" s="71"/>
      <c r="R24" t="s">
        <v>81</v>
      </c>
      <c r="S24" s="3">
        <v>1.3</v>
      </c>
      <c r="T24" s="3">
        <v>1.3</v>
      </c>
      <c r="U24" s="3"/>
      <c r="V24" t="s">
        <v>254</v>
      </c>
      <c r="AA24" s="7"/>
      <c r="AB24" s="7" t="s">
        <v>69</v>
      </c>
      <c r="AC24" s="337"/>
      <c r="AD24" s="275">
        <v>1.75</v>
      </c>
      <c r="AE24" s="3">
        <v>0.98</v>
      </c>
      <c r="AF24" s="3">
        <v>0.08</v>
      </c>
      <c r="AG24" s="344">
        <v>3</v>
      </c>
      <c r="AH24" s="3">
        <f t="shared" si="3"/>
        <v>0.08</v>
      </c>
      <c r="AI24" s="3">
        <f t="shared" si="4"/>
        <v>1.75</v>
      </c>
      <c r="AJ24" s="411">
        <f t="shared" si="5"/>
        <v>0.93666666666666665</v>
      </c>
      <c r="AK24" s="347">
        <f>STDEV(AC24:AF24)</f>
        <v>0.83584288794804806</v>
      </c>
      <c r="AL24" t="s">
        <v>70</v>
      </c>
    </row>
    <row r="25" spans="1:38" ht="15.6" x14ac:dyDescent="0.3">
      <c r="A25" s="324" t="s">
        <v>628</v>
      </c>
      <c r="B25" s="80"/>
      <c r="C25" s="80"/>
      <c r="D25" s="80"/>
      <c r="E25" s="80"/>
      <c r="Q25" s="210"/>
      <c r="R25" s="210" t="s">
        <v>626</v>
      </c>
      <c r="S25" s="209"/>
      <c r="T25" s="209">
        <v>49</v>
      </c>
      <c r="U25" s="209"/>
      <c r="V25" s="210" t="s">
        <v>627</v>
      </c>
      <c r="AA25" s="343"/>
      <c r="AB25" s="343" t="s">
        <v>586</v>
      </c>
      <c r="AC25" s="334">
        <v>1.07</v>
      </c>
      <c r="AD25" s="334">
        <v>1</v>
      </c>
      <c r="AE25" s="333">
        <v>1</v>
      </c>
      <c r="AF25" s="333">
        <v>1</v>
      </c>
      <c r="AG25" s="346">
        <v>4</v>
      </c>
      <c r="AH25" s="209">
        <f t="shared" si="3"/>
        <v>1</v>
      </c>
      <c r="AI25" s="209">
        <f t="shared" si="4"/>
        <v>1.07</v>
      </c>
      <c r="AJ25" s="371">
        <f t="shared" si="5"/>
        <v>1.0175000000000001</v>
      </c>
      <c r="AK25" s="404">
        <f>STDEV(AC25:AF25)</f>
        <v>3.5000000000000031E-2</v>
      </c>
      <c r="AL25" s="343" t="s">
        <v>58</v>
      </c>
    </row>
    <row r="26" spans="1:38" x14ac:dyDescent="0.3">
      <c r="A26" s="84" t="s">
        <v>458</v>
      </c>
      <c r="B26" s="80"/>
      <c r="C26" s="80"/>
      <c r="D26" s="80"/>
      <c r="E26" s="80"/>
      <c r="Q26" s="7" t="s">
        <v>69</v>
      </c>
      <c r="R26" s="7" t="s">
        <v>69</v>
      </c>
      <c r="S26" s="3">
        <v>1.75</v>
      </c>
      <c r="T26" s="3">
        <v>0.98</v>
      </c>
      <c r="U26" s="3">
        <v>0.08</v>
      </c>
      <c r="V26" t="s">
        <v>70</v>
      </c>
      <c r="AA26" s="686" t="s">
        <v>83</v>
      </c>
      <c r="AB26" s="686"/>
      <c r="AC26" s="365"/>
      <c r="AD26" s="393"/>
      <c r="AE26" s="139"/>
      <c r="AF26" s="139"/>
      <c r="AG26" s="368"/>
      <c r="AH26" s="163"/>
      <c r="AI26" s="163"/>
      <c r="AJ26" s="411"/>
      <c r="AK26" s="375"/>
      <c r="AL26" s="28"/>
    </row>
    <row r="27" spans="1:38" x14ac:dyDescent="0.3">
      <c r="Q27" s="7" t="s">
        <v>586</v>
      </c>
      <c r="R27" s="7" t="s">
        <v>586</v>
      </c>
      <c r="S27" s="131">
        <v>1</v>
      </c>
      <c r="T27" s="131">
        <v>1</v>
      </c>
      <c r="U27" s="131">
        <v>1</v>
      </c>
      <c r="V27" s="7" t="s">
        <v>58</v>
      </c>
      <c r="AA27" s="343" t="s">
        <v>629</v>
      </c>
      <c r="AB27" s="343" t="s">
        <v>630</v>
      </c>
      <c r="AC27" s="277">
        <v>0.75</v>
      </c>
      <c r="AD27" s="334">
        <v>0.75</v>
      </c>
      <c r="AE27" s="333">
        <v>0.75</v>
      </c>
      <c r="AF27" s="333">
        <v>0.75</v>
      </c>
      <c r="AG27" s="346">
        <v>4</v>
      </c>
      <c r="AH27" s="209">
        <f>MIN(AC27:AF27)</f>
        <v>0.75</v>
      </c>
      <c r="AI27" s="209">
        <f>MAX(AC27:AF27)</f>
        <v>0.75</v>
      </c>
      <c r="AJ27" s="371">
        <f>AVERAGE(AC27:AF27)</f>
        <v>0.75</v>
      </c>
      <c r="AK27" s="404">
        <f>STDEV(AC27:AF27)</f>
        <v>0</v>
      </c>
      <c r="AL27" s="343" t="s">
        <v>70</v>
      </c>
    </row>
    <row r="28" spans="1:38" x14ac:dyDescent="0.3">
      <c r="A28" s="693" t="s">
        <v>631</v>
      </c>
      <c r="B28" s="693"/>
      <c r="C28" s="693"/>
      <c r="D28" s="693"/>
      <c r="E28" s="693"/>
      <c r="Q28" s="138" t="s">
        <v>83</v>
      </c>
      <c r="R28" s="28"/>
      <c r="S28" s="139"/>
      <c r="T28" s="139"/>
      <c r="U28" s="139"/>
      <c r="V28" s="28"/>
      <c r="AA28" s="686" t="s">
        <v>273</v>
      </c>
      <c r="AB28" s="686"/>
      <c r="AC28" s="365"/>
      <c r="AD28" s="393"/>
      <c r="AE28" s="139"/>
      <c r="AF28" s="139"/>
      <c r="AG28" s="368"/>
      <c r="AH28" s="163"/>
      <c r="AI28" s="163"/>
      <c r="AJ28" s="411"/>
      <c r="AK28" s="375"/>
      <c r="AL28" s="28"/>
    </row>
    <row r="29" spans="1:38" x14ac:dyDescent="0.3">
      <c r="A29" s="693"/>
      <c r="B29" s="693"/>
      <c r="C29" s="693"/>
      <c r="D29" s="693"/>
      <c r="E29" s="693"/>
      <c r="Q29" s="7" t="s">
        <v>629</v>
      </c>
      <c r="R29" s="7" t="s">
        <v>630</v>
      </c>
      <c r="S29" s="131">
        <v>0.75</v>
      </c>
      <c r="T29" s="131">
        <v>0.75</v>
      </c>
      <c r="U29" s="131">
        <v>0.75</v>
      </c>
      <c r="V29" s="7" t="s">
        <v>70</v>
      </c>
      <c r="AB29" t="s">
        <v>632</v>
      </c>
      <c r="AC29" s="298"/>
      <c r="AD29" s="275">
        <v>26</v>
      </c>
      <c r="AE29" s="3">
        <v>26</v>
      </c>
      <c r="AF29" s="3">
        <v>26</v>
      </c>
      <c r="AG29" s="344">
        <v>3</v>
      </c>
      <c r="AH29" s="3">
        <f>MIN(AC29:AF29)</f>
        <v>26</v>
      </c>
      <c r="AI29" s="3">
        <f>MAX(AC29:AF29)</f>
        <v>26</v>
      </c>
      <c r="AJ29" s="411">
        <f>AVERAGE(AC29:AF29)</f>
        <v>26</v>
      </c>
      <c r="AK29" s="347">
        <f>STDEV(AC29:AF29)</f>
        <v>0</v>
      </c>
      <c r="AL29" t="s">
        <v>88</v>
      </c>
    </row>
    <row r="30" spans="1:38" x14ac:dyDescent="0.3">
      <c r="A30" s="693"/>
      <c r="B30" s="693"/>
      <c r="C30" s="693"/>
      <c r="D30" s="693"/>
      <c r="E30" s="693"/>
      <c r="Q30" s="138" t="s">
        <v>273</v>
      </c>
      <c r="R30" s="28"/>
      <c r="S30" s="139"/>
      <c r="T30" s="139"/>
      <c r="U30" s="139"/>
      <c r="V30" s="28"/>
      <c r="AA30" s="220"/>
      <c r="AB30" s="220" t="s">
        <v>633</v>
      </c>
      <c r="AC30" s="366"/>
      <c r="AD30" s="367">
        <v>0.11</v>
      </c>
      <c r="AE30" s="364">
        <v>0.11</v>
      </c>
      <c r="AF30" s="364">
        <v>0.23</v>
      </c>
      <c r="AG30" s="370">
        <v>3</v>
      </c>
      <c r="AH30" s="364">
        <f>MIN(AC30:AF30)</f>
        <v>0.11</v>
      </c>
      <c r="AI30" s="364">
        <f>MAX(AC30:AF30)</f>
        <v>0.23</v>
      </c>
      <c r="AJ30" s="427">
        <f>AVERAGE(AC30:AF30)</f>
        <v>0.15</v>
      </c>
      <c r="AK30" s="376">
        <f>STDEV(AC30:AF30)</f>
        <v>6.9282032302755078E-2</v>
      </c>
      <c r="AL30" s="220" t="s">
        <v>58</v>
      </c>
    </row>
    <row r="31" spans="1:38" x14ac:dyDescent="0.3">
      <c r="R31" t="s">
        <v>632</v>
      </c>
      <c r="S31" s="3">
        <v>26</v>
      </c>
      <c r="T31" s="3">
        <v>26</v>
      </c>
      <c r="U31" s="3">
        <v>26</v>
      </c>
      <c r="V31" t="s">
        <v>88</v>
      </c>
    </row>
    <row r="32" spans="1:38" x14ac:dyDescent="0.3">
      <c r="A32" s="82" t="s">
        <v>634</v>
      </c>
      <c r="R32" t="s">
        <v>633</v>
      </c>
      <c r="S32" s="3">
        <v>0.11</v>
      </c>
      <c r="T32" s="3">
        <v>0.11</v>
      </c>
      <c r="U32" s="3">
        <v>0.23</v>
      </c>
      <c r="V32" t="s">
        <v>58</v>
      </c>
    </row>
    <row r="33" spans="1:1" x14ac:dyDescent="0.3">
      <c r="A33" s="65" t="s">
        <v>635</v>
      </c>
    </row>
  </sheetData>
  <mergeCells count="11">
    <mergeCell ref="S4:U4"/>
    <mergeCell ref="A28:E30"/>
    <mergeCell ref="A13:A20"/>
    <mergeCell ref="A5:A12"/>
    <mergeCell ref="R2:X3"/>
    <mergeCell ref="AA28:AB28"/>
    <mergeCell ref="AB1:AL1"/>
    <mergeCell ref="AD2:AE2"/>
    <mergeCell ref="AD3:AF3"/>
    <mergeCell ref="AA4:AB4"/>
    <mergeCell ref="AA26:AB26"/>
  </mergeCells>
  <hyperlinks>
    <hyperlink ref="R2" r:id="rId1" xr:uid="{BBFCC15D-4E06-4DF5-8088-ACDF0D889F0A}"/>
  </hyperlinks>
  <pageMargins left="0.7" right="0.7" top="0.75" bottom="0.75" header="0.3" footer="0.3"/>
  <drawing r:id="rId2"/>
  <legacy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143E03-D317-4BC9-B56C-6C0290C6B486}">
  <dimension ref="A1:AD91"/>
  <sheetViews>
    <sheetView topLeftCell="Q1" workbookViewId="0">
      <selection activeCell="AH11" sqref="AH11"/>
    </sheetView>
  </sheetViews>
  <sheetFormatPr defaultRowHeight="14.4" x14ac:dyDescent="0.3"/>
  <cols>
    <col min="1" max="1" width="19.33203125" bestFit="1" customWidth="1"/>
    <col min="2" max="2" width="47.6640625" customWidth="1"/>
    <col min="7" max="7" width="9.109375" customWidth="1"/>
    <col min="8" max="8" width="9.109375" style="60" customWidth="1"/>
    <col min="9" max="9" width="3.88671875" customWidth="1"/>
    <col min="10" max="10" width="21.6640625" customWidth="1"/>
    <col min="11" max="11" width="27.6640625" customWidth="1"/>
    <col min="12" max="17" width="9.109375" customWidth="1"/>
    <col min="18" max="18" width="9.109375" style="60" customWidth="1"/>
    <col min="19" max="19" width="9.109375" customWidth="1"/>
    <col min="20" max="20" width="26.6640625" customWidth="1"/>
    <col min="21" max="21" width="12.109375" bestFit="1" customWidth="1"/>
    <col min="24" max="24" width="9.109375" customWidth="1"/>
    <col min="25" max="25" width="4.5546875" customWidth="1"/>
    <col min="26" max="32" width="9.109375" customWidth="1"/>
  </cols>
  <sheetData>
    <row r="1" spans="1:30" ht="15.6" x14ac:dyDescent="0.3">
      <c r="A1" s="7" t="s">
        <v>300</v>
      </c>
      <c r="B1" s="330" t="s">
        <v>636</v>
      </c>
      <c r="K1" t="s">
        <v>304</v>
      </c>
      <c r="L1" s="35" t="s">
        <v>637</v>
      </c>
      <c r="M1" s="36"/>
      <c r="T1" s="699" t="s">
        <v>638</v>
      </c>
      <c r="U1" s="699"/>
      <c r="V1" s="699"/>
      <c r="W1" s="699"/>
      <c r="X1" s="699"/>
      <c r="Y1" s="699"/>
      <c r="Z1" s="699"/>
      <c r="AA1" s="699"/>
      <c r="AB1" s="699"/>
      <c r="AC1" s="699"/>
      <c r="AD1" s="699"/>
    </row>
    <row r="2" spans="1:30" x14ac:dyDescent="0.3">
      <c r="J2" t="s">
        <v>639</v>
      </c>
      <c r="K2" s="698" t="s">
        <v>312</v>
      </c>
      <c r="L2" s="698"/>
      <c r="M2" s="698"/>
      <c r="N2" s="698"/>
      <c r="O2" s="698"/>
      <c r="P2" s="698"/>
      <c r="Q2" s="698"/>
      <c r="T2" s="7" t="s">
        <v>640</v>
      </c>
      <c r="V2" s="688" t="s">
        <v>314</v>
      </c>
      <c r="W2" s="688"/>
    </row>
    <row r="3" spans="1:30" x14ac:dyDescent="0.3">
      <c r="A3" s="21" t="s">
        <v>308</v>
      </c>
      <c r="B3" s="26" t="s">
        <v>641</v>
      </c>
      <c r="L3" s="692" t="s">
        <v>580</v>
      </c>
      <c r="M3" s="692"/>
      <c r="N3" s="692"/>
      <c r="U3" s="298" t="s">
        <v>300</v>
      </c>
      <c r="V3" s="689" t="s">
        <v>304</v>
      </c>
      <c r="W3" s="690"/>
      <c r="X3" s="690"/>
      <c r="Y3" s="40"/>
    </row>
    <row r="4" spans="1:30" ht="15.6" x14ac:dyDescent="0.3">
      <c r="A4" s="7" t="s">
        <v>317</v>
      </c>
      <c r="B4" s="23" t="s">
        <v>318</v>
      </c>
      <c r="C4" s="23" t="s">
        <v>247</v>
      </c>
      <c r="D4" s="23" t="s">
        <v>55</v>
      </c>
      <c r="E4" s="7"/>
      <c r="F4" s="7"/>
      <c r="G4" s="7"/>
      <c r="H4" s="255"/>
      <c r="I4" s="7"/>
      <c r="J4" s="258" t="s">
        <v>317</v>
      </c>
      <c r="K4" s="23" t="s">
        <v>318</v>
      </c>
      <c r="L4" s="23" t="s">
        <v>642</v>
      </c>
      <c r="M4" s="23" t="s">
        <v>643</v>
      </c>
      <c r="N4" s="23" t="s">
        <v>644</v>
      </c>
      <c r="O4" s="23" t="s">
        <v>55</v>
      </c>
      <c r="P4" s="7"/>
      <c r="Q4" s="7"/>
      <c r="R4" s="255"/>
      <c r="T4" s="352" t="s">
        <v>54</v>
      </c>
      <c r="U4" s="353" t="s">
        <v>645</v>
      </c>
      <c r="V4" s="354" t="s">
        <v>642</v>
      </c>
      <c r="W4" s="322" t="s">
        <v>643</v>
      </c>
      <c r="X4" s="322" t="s">
        <v>644</v>
      </c>
      <c r="Y4" s="355" t="s">
        <v>222</v>
      </c>
      <c r="Z4" s="234" t="s">
        <v>345</v>
      </c>
      <c r="AA4" s="234" t="s">
        <v>346</v>
      </c>
      <c r="AB4" s="356" t="s">
        <v>347</v>
      </c>
      <c r="AC4" s="234" t="s">
        <v>348</v>
      </c>
      <c r="AD4" s="253" t="s">
        <v>55</v>
      </c>
    </row>
    <row r="5" spans="1:30" x14ac:dyDescent="0.3">
      <c r="B5" s="254" t="s">
        <v>406</v>
      </c>
      <c r="C5" s="263">
        <v>1</v>
      </c>
      <c r="D5" s="263" t="s">
        <v>361</v>
      </c>
      <c r="E5" s="263"/>
      <c r="F5" s="263"/>
      <c r="G5" s="263"/>
      <c r="H5" s="332"/>
      <c r="J5" s="138" t="s">
        <v>54</v>
      </c>
      <c r="K5" s="28"/>
      <c r="L5" s="28"/>
      <c r="M5" s="28"/>
      <c r="N5" s="28"/>
      <c r="O5" s="28"/>
      <c r="T5" s="318" t="s">
        <v>586</v>
      </c>
      <c r="U5" s="357">
        <v>1</v>
      </c>
      <c r="V5" s="357">
        <v>1</v>
      </c>
      <c r="W5" s="358">
        <v>1</v>
      </c>
      <c r="X5" s="358">
        <v>1</v>
      </c>
      <c r="Y5" s="344">
        <v>4</v>
      </c>
      <c r="Z5" s="3">
        <f>MIN(U5:X5)</f>
        <v>1</v>
      </c>
      <c r="AA5" s="3">
        <f>MAX(U5:X5)</f>
        <v>1</v>
      </c>
      <c r="AB5" s="338">
        <f>AVERAGE(U5:X5)</f>
        <v>1</v>
      </c>
      <c r="AC5" s="348">
        <f>STDEV(U5:X5)</f>
        <v>0</v>
      </c>
      <c r="AD5" s="49" t="s">
        <v>58</v>
      </c>
    </row>
    <row r="6" spans="1:30" x14ac:dyDescent="0.3">
      <c r="B6" s="361" t="s">
        <v>322</v>
      </c>
      <c r="C6" s="361" t="s">
        <v>646</v>
      </c>
      <c r="D6" s="362" t="s">
        <v>67</v>
      </c>
      <c r="E6" s="362">
        <v>1.68</v>
      </c>
      <c r="F6" s="362" t="s">
        <v>70</v>
      </c>
      <c r="J6" s="7" t="s">
        <v>587</v>
      </c>
      <c r="K6" s="7" t="s">
        <v>588</v>
      </c>
      <c r="L6" s="131">
        <v>67.5</v>
      </c>
      <c r="M6" s="131">
        <v>97.8</v>
      </c>
      <c r="N6" s="131">
        <v>56.3</v>
      </c>
      <c r="O6" s="7" t="s">
        <v>82</v>
      </c>
      <c r="T6" s="7" t="s">
        <v>588</v>
      </c>
      <c r="U6" s="310">
        <v>138</v>
      </c>
      <c r="V6" s="275">
        <v>67.5</v>
      </c>
      <c r="W6" s="3">
        <v>97.8</v>
      </c>
      <c r="X6" s="3">
        <v>56.3</v>
      </c>
      <c r="Y6" s="344">
        <v>4</v>
      </c>
      <c r="Z6" s="3">
        <f>MIN(U6:X6)</f>
        <v>56.3</v>
      </c>
      <c r="AA6" s="3">
        <f>MAX(U6:X6)</f>
        <v>138</v>
      </c>
      <c r="AB6" s="338">
        <f>AVERAGE(U6:X6)</f>
        <v>89.9</v>
      </c>
      <c r="AC6" s="348">
        <f>STDEV(U6:X6)</f>
        <v>36.545587969001105</v>
      </c>
      <c r="AD6" s="7" t="s">
        <v>82</v>
      </c>
    </row>
    <row r="7" spans="1:30" x14ac:dyDescent="0.3">
      <c r="B7" s="359" t="s">
        <v>262</v>
      </c>
      <c r="C7" s="359" t="s">
        <v>647</v>
      </c>
      <c r="D7" s="360" t="s">
        <v>76</v>
      </c>
      <c r="E7" s="388">
        <f>C7*1000</f>
        <v>291</v>
      </c>
      <c r="F7" s="7" t="s">
        <v>590</v>
      </c>
      <c r="K7" t="s">
        <v>591</v>
      </c>
      <c r="L7" s="3"/>
      <c r="M7" s="3"/>
      <c r="N7" s="3"/>
      <c r="O7" t="s">
        <v>88</v>
      </c>
      <c r="T7" t="s">
        <v>591</v>
      </c>
      <c r="U7" s="275"/>
      <c r="V7" s="275"/>
      <c r="W7" s="3"/>
      <c r="X7" s="3"/>
      <c r="Y7" s="345" t="s">
        <v>159</v>
      </c>
      <c r="Z7" s="3"/>
      <c r="AA7" s="3"/>
      <c r="AB7" s="338"/>
      <c r="AC7" s="348"/>
      <c r="AD7" t="s">
        <v>88</v>
      </c>
    </row>
    <row r="8" spans="1:30" x14ac:dyDescent="0.3">
      <c r="B8" t="s">
        <v>648</v>
      </c>
      <c r="C8" s="18" t="s">
        <v>649</v>
      </c>
      <c r="D8" t="s">
        <v>361</v>
      </c>
      <c r="K8" s="100" t="s">
        <v>593</v>
      </c>
      <c r="L8" s="268">
        <v>225</v>
      </c>
      <c r="M8" s="268">
        <v>130</v>
      </c>
      <c r="N8" s="268">
        <v>10</v>
      </c>
      <c r="O8" s="100" t="s">
        <v>82</v>
      </c>
      <c r="T8" s="100" t="s">
        <v>593</v>
      </c>
      <c r="U8" s="274">
        <v>153</v>
      </c>
      <c r="V8" s="340">
        <v>225</v>
      </c>
      <c r="W8" s="341">
        <v>130</v>
      </c>
      <c r="X8" s="341">
        <v>10</v>
      </c>
      <c r="Y8" s="344">
        <v>4</v>
      </c>
      <c r="Z8" s="3">
        <f>MIN(U8:X8)</f>
        <v>10</v>
      </c>
      <c r="AA8" s="3">
        <f>MAX(U8:X8)</f>
        <v>225</v>
      </c>
      <c r="AB8" s="392">
        <f>AVERAGE(U8:X8)</f>
        <v>129.5</v>
      </c>
      <c r="AC8" s="348">
        <f>STDEV(U8:X8)</f>
        <v>89.355096851457404</v>
      </c>
      <c r="AD8" s="100" t="s">
        <v>82</v>
      </c>
    </row>
    <row r="9" spans="1:30" x14ac:dyDescent="0.3">
      <c r="B9" s="18" t="s">
        <v>650</v>
      </c>
      <c r="C9" s="18" t="s">
        <v>651</v>
      </c>
      <c r="D9" t="s">
        <v>652</v>
      </c>
      <c r="K9" t="s">
        <v>594</v>
      </c>
      <c r="L9" s="3">
        <v>45</v>
      </c>
      <c r="M9" s="3">
        <v>50</v>
      </c>
      <c r="N9" s="3"/>
      <c r="O9" t="s">
        <v>82</v>
      </c>
      <c r="T9" t="s">
        <v>594</v>
      </c>
      <c r="U9" s="342" t="s">
        <v>159</v>
      </c>
      <c r="V9" s="275">
        <v>45</v>
      </c>
      <c r="W9" s="3">
        <v>50</v>
      </c>
      <c r="X9" s="3"/>
      <c r="Y9" s="344">
        <v>2</v>
      </c>
      <c r="Z9" s="3">
        <f>MIN(U9:X9)</f>
        <v>45</v>
      </c>
      <c r="AA9" s="3">
        <f>MAX(U9:X9)</f>
        <v>50</v>
      </c>
      <c r="AB9" s="338">
        <f>AVERAGE(U9:X9)</f>
        <v>47.5</v>
      </c>
      <c r="AC9" s="348">
        <f>STDEV(U9:X9)</f>
        <v>3.5355339059327378</v>
      </c>
      <c r="AD9" t="s">
        <v>82</v>
      </c>
    </row>
    <row r="10" spans="1:30" x14ac:dyDescent="0.3">
      <c r="B10" s="1" t="s">
        <v>653</v>
      </c>
      <c r="C10" s="1"/>
      <c r="D10" s="1"/>
      <c r="K10" t="s">
        <v>597</v>
      </c>
      <c r="L10" s="3">
        <v>113</v>
      </c>
      <c r="M10" s="3"/>
      <c r="N10" s="3"/>
      <c r="O10" t="s">
        <v>82</v>
      </c>
      <c r="T10" t="s">
        <v>597</v>
      </c>
      <c r="U10" s="342" t="s">
        <v>159</v>
      </c>
      <c r="V10" s="275">
        <v>113</v>
      </c>
      <c r="W10" s="3"/>
      <c r="X10" s="3"/>
      <c r="Y10" s="344">
        <v>1</v>
      </c>
      <c r="Z10" s="3">
        <f>MIN(U10:X10)</f>
        <v>113</v>
      </c>
      <c r="AA10" s="3">
        <f>MAX(U10:X10)</f>
        <v>113</v>
      </c>
      <c r="AB10" s="338">
        <f>AVERAGE(U10:X10)</f>
        <v>113</v>
      </c>
      <c r="AC10" s="348"/>
      <c r="AD10" t="s">
        <v>82</v>
      </c>
    </row>
    <row r="11" spans="1:30" x14ac:dyDescent="0.3">
      <c r="B11" s="18" t="s">
        <v>654</v>
      </c>
      <c r="C11" s="18" t="s">
        <v>655</v>
      </c>
      <c r="D11" t="s">
        <v>652</v>
      </c>
      <c r="K11" t="s">
        <v>599</v>
      </c>
      <c r="L11" s="3"/>
      <c r="M11" s="3"/>
      <c r="N11" s="3"/>
      <c r="O11" t="s">
        <v>82</v>
      </c>
      <c r="T11" t="s">
        <v>599</v>
      </c>
      <c r="U11" s="342" t="s">
        <v>159</v>
      </c>
      <c r="V11" s="275"/>
      <c r="W11" s="3"/>
      <c r="X11" s="3"/>
      <c r="Y11" s="345" t="s">
        <v>159</v>
      </c>
      <c r="Z11" s="3"/>
      <c r="AA11" s="3"/>
      <c r="AB11" s="338"/>
      <c r="AC11" s="348"/>
      <c r="AD11" t="s">
        <v>82</v>
      </c>
    </row>
    <row r="12" spans="1:30" x14ac:dyDescent="0.3">
      <c r="B12" s="18" t="s">
        <v>656</v>
      </c>
      <c r="C12" s="18" t="s">
        <v>657</v>
      </c>
      <c r="D12" t="s">
        <v>652</v>
      </c>
      <c r="K12" t="s">
        <v>602</v>
      </c>
      <c r="L12" s="3">
        <v>75</v>
      </c>
      <c r="M12" s="3"/>
      <c r="N12" s="3"/>
      <c r="O12" t="s">
        <v>82</v>
      </c>
      <c r="T12" t="s">
        <v>602</v>
      </c>
      <c r="U12" s="342" t="s">
        <v>159</v>
      </c>
      <c r="V12" s="275">
        <v>75</v>
      </c>
      <c r="W12" s="3"/>
      <c r="X12" s="3"/>
      <c r="Y12" s="344">
        <v>1</v>
      </c>
      <c r="Z12" s="3">
        <f t="shared" ref="Z12:Z18" si="0">MIN(U12:X12)</f>
        <v>75</v>
      </c>
      <c r="AA12" s="3">
        <f t="shared" ref="AA12:AA18" si="1">MAX(U12:X12)</f>
        <v>75</v>
      </c>
      <c r="AB12" s="338">
        <f t="shared" ref="AB12:AB18" si="2">AVERAGE(U12:X12)</f>
        <v>75</v>
      </c>
      <c r="AC12" s="348"/>
      <c r="AD12" t="s">
        <v>82</v>
      </c>
    </row>
    <row r="13" spans="1:30" x14ac:dyDescent="0.3">
      <c r="B13" s="20" t="s">
        <v>658</v>
      </c>
      <c r="C13" s="1"/>
      <c r="D13" s="1"/>
      <c r="K13" t="s">
        <v>659</v>
      </c>
      <c r="L13" s="3">
        <v>1.5</v>
      </c>
      <c r="M13" s="3"/>
      <c r="N13" s="3"/>
      <c r="O13" t="s">
        <v>82</v>
      </c>
      <c r="T13" t="s">
        <v>659</v>
      </c>
      <c r="U13" s="342" t="s">
        <v>159</v>
      </c>
      <c r="V13" s="275">
        <v>1.5</v>
      </c>
      <c r="W13" s="3"/>
      <c r="X13" s="3"/>
      <c r="Y13" s="344">
        <v>1</v>
      </c>
      <c r="Z13" s="3">
        <f t="shared" si="0"/>
        <v>1.5</v>
      </c>
      <c r="AA13" s="3">
        <f t="shared" si="1"/>
        <v>1.5</v>
      </c>
      <c r="AB13" s="338">
        <f t="shared" si="2"/>
        <v>1.5</v>
      </c>
      <c r="AC13" s="348"/>
      <c r="AD13" t="s">
        <v>82</v>
      </c>
    </row>
    <row r="14" spans="1:30" x14ac:dyDescent="0.3">
      <c r="B14" s="18" t="s">
        <v>660</v>
      </c>
      <c r="C14" s="18" t="s">
        <v>661</v>
      </c>
      <c r="D14" t="s">
        <v>652</v>
      </c>
      <c r="K14" t="s">
        <v>608</v>
      </c>
      <c r="L14" s="3"/>
      <c r="M14" s="3">
        <v>326</v>
      </c>
      <c r="N14" s="3"/>
      <c r="O14" t="s">
        <v>82</v>
      </c>
      <c r="T14" t="s">
        <v>608</v>
      </c>
      <c r="U14" s="342" t="s">
        <v>159</v>
      </c>
      <c r="V14" s="275"/>
      <c r="W14" s="3">
        <v>326</v>
      </c>
      <c r="X14" s="3"/>
      <c r="Y14" s="344">
        <v>1</v>
      </c>
      <c r="Z14" s="3">
        <f t="shared" si="0"/>
        <v>326</v>
      </c>
      <c r="AA14" s="3">
        <f t="shared" si="1"/>
        <v>326</v>
      </c>
      <c r="AB14" s="338">
        <f t="shared" si="2"/>
        <v>326</v>
      </c>
      <c r="AC14" s="348"/>
      <c r="AD14" t="s">
        <v>82</v>
      </c>
    </row>
    <row r="15" spans="1:30" x14ac:dyDescent="0.3">
      <c r="B15" t="s">
        <v>662</v>
      </c>
      <c r="C15" s="18" t="s">
        <v>661</v>
      </c>
      <c r="D15" t="s">
        <v>652</v>
      </c>
      <c r="K15" t="s">
        <v>610</v>
      </c>
      <c r="L15" s="3"/>
      <c r="M15" s="3">
        <v>52.2</v>
      </c>
      <c r="N15" s="3"/>
      <c r="O15" t="s">
        <v>82</v>
      </c>
      <c r="T15" t="s">
        <v>610</v>
      </c>
      <c r="U15" s="342" t="s">
        <v>159</v>
      </c>
      <c r="V15" s="275"/>
      <c r="W15" s="3">
        <v>52.2</v>
      </c>
      <c r="X15" s="3"/>
      <c r="Y15" s="344">
        <v>1</v>
      </c>
      <c r="Z15" s="3">
        <f t="shared" si="0"/>
        <v>52.2</v>
      </c>
      <c r="AA15" s="3">
        <f t="shared" si="1"/>
        <v>52.2</v>
      </c>
      <c r="AB15" s="338">
        <f t="shared" si="2"/>
        <v>52.2</v>
      </c>
      <c r="AC15" s="348"/>
      <c r="AD15" t="s">
        <v>82</v>
      </c>
    </row>
    <row r="16" spans="1:30" x14ac:dyDescent="0.3">
      <c r="B16" t="s">
        <v>663</v>
      </c>
      <c r="C16" s="18" t="s">
        <v>661</v>
      </c>
      <c r="D16" t="s">
        <v>652</v>
      </c>
      <c r="K16" t="s">
        <v>612</v>
      </c>
      <c r="L16" s="3"/>
      <c r="M16" s="3">
        <v>7.83</v>
      </c>
      <c r="N16" s="3"/>
      <c r="O16" t="s">
        <v>82</v>
      </c>
      <c r="T16" s="7" t="s">
        <v>612</v>
      </c>
      <c r="U16" s="275">
        <v>101</v>
      </c>
      <c r="V16" s="275"/>
      <c r="W16" s="3">
        <v>7.83</v>
      </c>
      <c r="X16" s="3"/>
      <c r="Y16" s="344">
        <v>2</v>
      </c>
      <c r="Z16" s="3">
        <f t="shared" si="0"/>
        <v>7.83</v>
      </c>
      <c r="AA16" s="3">
        <f t="shared" si="1"/>
        <v>101</v>
      </c>
      <c r="AB16" s="338">
        <f t="shared" si="2"/>
        <v>54.414999999999999</v>
      </c>
      <c r="AC16" s="350">
        <f>STDEV(U16:X16)</f>
        <v>65.881138803150634</v>
      </c>
      <c r="AD16" t="s">
        <v>82</v>
      </c>
    </row>
    <row r="17" spans="2:30" x14ac:dyDescent="0.3">
      <c r="B17" t="s">
        <v>664</v>
      </c>
      <c r="C17" s="18" t="s">
        <v>665</v>
      </c>
      <c r="D17" t="s">
        <v>652</v>
      </c>
      <c r="K17" t="s">
        <v>613</v>
      </c>
      <c r="L17" s="3"/>
      <c r="M17" s="3">
        <v>750</v>
      </c>
      <c r="N17" s="3">
        <v>75</v>
      </c>
      <c r="O17" t="s">
        <v>82</v>
      </c>
      <c r="T17" s="7" t="s">
        <v>613</v>
      </c>
      <c r="U17" s="275">
        <v>104</v>
      </c>
      <c r="V17" s="275"/>
      <c r="W17" s="3">
        <v>750</v>
      </c>
      <c r="X17" s="3">
        <v>75</v>
      </c>
      <c r="Y17" s="344">
        <v>3</v>
      </c>
      <c r="Z17" s="3">
        <f t="shared" si="0"/>
        <v>75</v>
      </c>
      <c r="AA17" s="3">
        <f t="shared" si="1"/>
        <v>750</v>
      </c>
      <c r="AB17" s="338">
        <f t="shared" si="2"/>
        <v>309.66666666666669</v>
      </c>
      <c r="AC17" s="350">
        <f>STDEV(U17:X17)</f>
        <v>381.61542596353905</v>
      </c>
      <c r="AD17" t="s">
        <v>82</v>
      </c>
    </row>
    <row r="18" spans="2:30" x14ac:dyDescent="0.3">
      <c r="B18" t="s">
        <v>666</v>
      </c>
      <c r="C18" s="18" t="s">
        <v>667</v>
      </c>
      <c r="D18" t="s">
        <v>652</v>
      </c>
      <c r="K18" t="s">
        <v>615</v>
      </c>
      <c r="L18" s="3"/>
      <c r="M18" s="3"/>
      <c r="N18" s="3">
        <v>169</v>
      </c>
      <c r="O18" t="s">
        <v>82</v>
      </c>
      <c r="T18" s="7" t="s">
        <v>615</v>
      </c>
      <c r="U18" s="275">
        <v>628</v>
      </c>
      <c r="V18" s="275"/>
      <c r="W18" s="3"/>
      <c r="X18" s="3">
        <v>169</v>
      </c>
      <c r="Y18" s="344">
        <v>2</v>
      </c>
      <c r="Z18" s="3">
        <f t="shared" si="0"/>
        <v>169</v>
      </c>
      <c r="AA18" s="3">
        <f t="shared" si="1"/>
        <v>628</v>
      </c>
      <c r="AB18" s="338">
        <f t="shared" si="2"/>
        <v>398.5</v>
      </c>
      <c r="AC18" s="348">
        <f>STDEV(U18:X18)</f>
        <v>324.56201256462532</v>
      </c>
      <c r="AD18" t="s">
        <v>82</v>
      </c>
    </row>
    <row r="19" spans="2:30" x14ac:dyDescent="0.3">
      <c r="B19" t="s">
        <v>654</v>
      </c>
      <c r="C19" s="18" t="s">
        <v>668</v>
      </c>
      <c r="D19" t="s">
        <v>652</v>
      </c>
      <c r="K19" t="s">
        <v>616</v>
      </c>
      <c r="L19" s="3"/>
      <c r="M19" s="3"/>
      <c r="N19" s="3"/>
      <c r="O19" t="s">
        <v>82</v>
      </c>
      <c r="T19" t="s">
        <v>616</v>
      </c>
      <c r="U19" s="342" t="s">
        <v>159</v>
      </c>
      <c r="V19" s="275"/>
      <c r="W19" s="3"/>
      <c r="X19" s="3"/>
      <c r="Y19" s="345" t="s">
        <v>159</v>
      </c>
      <c r="Z19" s="3"/>
      <c r="AA19" s="3"/>
      <c r="AB19" s="338"/>
      <c r="AC19" s="348"/>
      <c r="AD19" t="s">
        <v>82</v>
      </c>
    </row>
    <row r="20" spans="2:30" x14ac:dyDescent="0.3">
      <c r="B20" t="s">
        <v>669</v>
      </c>
      <c r="C20" t="s">
        <v>670</v>
      </c>
      <c r="D20" t="s">
        <v>652</v>
      </c>
      <c r="K20" t="s">
        <v>618</v>
      </c>
      <c r="L20" s="3"/>
      <c r="M20" s="3"/>
      <c r="N20" s="3"/>
      <c r="O20" t="s">
        <v>88</v>
      </c>
      <c r="T20" t="s">
        <v>618</v>
      </c>
      <c r="U20" s="342" t="s">
        <v>159</v>
      </c>
      <c r="V20" s="275"/>
      <c r="W20" s="3"/>
      <c r="X20" s="3"/>
      <c r="Y20" s="345" t="s">
        <v>159</v>
      </c>
      <c r="Z20" s="3"/>
      <c r="AA20" s="3"/>
      <c r="AB20" s="338"/>
      <c r="AC20" s="348"/>
      <c r="AD20" t="s">
        <v>88</v>
      </c>
    </row>
    <row r="21" spans="2:30" x14ac:dyDescent="0.3">
      <c r="B21" t="s">
        <v>671</v>
      </c>
      <c r="C21" t="s">
        <v>672</v>
      </c>
      <c r="D21" t="s">
        <v>652</v>
      </c>
      <c r="J21" s="210"/>
      <c r="K21" s="210" t="s">
        <v>619</v>
      </c>
      <c r="L21" s="209"/>
      <c r="M21" s="209">
        <v>163</v>
      </c>
      <c r="N21" s="209"/>
      <c r="O21" s="210" t="s">
        <v>82</v>
      </c>
      <c r="T21" s="210" t="s">
        <v>619</v>
      </c>
      <c r="U21" s="391" t="s">
        <v>159</v>
      </c>
      <c r="V21" s="277"/>
      <c r="W21" s="209">
        <v>163</v>
      </c>
      <c r="X21" s="209"/>
      <c r="Y21" s="346">
        <v>1</v>
      </c>
      <c r="Z21" s="3">
        <f>MIN(U21:X21)</f>
        <v>163</v>
      </c>
      <c r="AA21" s="3">
        <f>MAX(U21:X21)</f>
        <v>163</v>
      </c>
      <c r="AB21" s="338">
        <f>AVERAGE(U21:X21)</f>
        <v>163</v>
      </c>
      <c r="AC21" s="351"/>
      <c r="AD21" s="210" t="s">
        <v>82</v>
      </c>
    </row>
    <row r="22" spans="2:30" x14ac:dyDescent="0.3">
      <c r="B22" t="s">
        <v>673</v>
      </c>
      <c r="C22" s="18" t="s">
        <v>674</v>
      </c>
      <c r="D22" t="s">
        <v>652</v>
      </c>
      <c r="J22" s="7" t="s">
        <v>621</v>
      </c>
      <c r="K22" s="7" t="s">
        <v>376</v>
      </c>
      <c r="L22" s="131">
        <v>47</v>
      </c>
      <c r="M22" s="131">
        <v>56</v>
      </c>
      <c r="N22" s="131">
        <v>38</v>
      </c>
      <c r="O22" s="7" t="s">
        <v>590</v>
      </c>
      <c r="S22" s="7" t="s">
        <v>621</v>
      </c>
      <c r="T22" s="7" t="s">
        <v>376</v>
      </c>
      <c r="U22" s="387">
        <v>291</v>
      </c>
      <c r="V22" s="131">
        <v>47</v>
      </c>
      <c r="W22" s="131">
        <v>56</v>
      </c>
      <c r="X22" s="131">
        <v>38</v>
      </c>
      <c r="Y22" s="344">
        <v>4</v>
      </c>
      <c r="Z22" s="207">
        <f>MIN(U22:X22)</f>
        <v>38</v>
      </c>
      <c r="AA22" s="207">
        <f>MAX(U22:X22)</f>
        <v>291</v>
      </c>
      <c r="AB22" s="372">
        <f>AVERAGE(U22:X22)</f>
        <v>108</v>
      </c>
      <c r="AC22" s="389">
        <f>STDEV(U22:X22)</f>
        <v>122.22111110606056</v>
      </c>
      <c r="AD22" s="7" t="s">
        <v>590</v>
      </c>
    </row>
    <row r="23" spans="2:30" x14ac:dyDescent="0.3">
      <c r="B23" s="1" t="s">
        <v>675</v>
      </c>
      <c r="C23" s="1"/>
      <c r="D23" s="1"/>
      <c r="K23" t="s">
        <v>81</v>
      </c>
      <c r="L23" s="3">
        <v>1.3</v>
      </c>
      <c r="M23" s="3">
        <v>1.3</v>
      </c>
      <c r="N23" s="3"/>
      <c r="O23" t="s">
        <v>254</v>
      </c>
      <c r="T23" t="s">
        <v>81</v>
      </c>
      <c r="U23" s="335"/>
      <c r="V23" s="3">
        <v>1.3</v>
      </c>
      <c r="W23" s="3">
        <v>1.3</v>
      </c>
      <c r="X23" s="3"/>
      <c r="Y23" s="344">
        <v>2</v>
      </c>
      <c r="Z23" s="3">
        <f>MIN(U23:X23)</f>
        <v>1.3</v>
      </c>
      <c r="AA23" s="3">
        <f>MAX(U23:X23)</f>
        <v>1.3</v>
      </c>
      <c r="AB23" s="338">
        <f>AVERAGE(U23:X23)</f>
        <v>1.3</v>
      </c>
      <c r="AC23" s="377">
        <f>STDEV(U23:X23)</f>
        <v>0</v>
      </c>
      <c r="AD23" t="s">
        <v>254</v>
      </c>
    </row>
    <row r="24" spans="2:30" x14ac:dyDescent="0.3">
      <c r="B24" t="s">
        <v>676</v>
      </c>
      <c r="C24" s="18" t="s">
        <v>677</v>
      </c>
      <c r="D24" t="s">
        <v>58</v>
      </c>
      <c r="J24" s="210"/>
      <c r="K24" s="210" t="s">
        <v>626</v>
      </c>
      <c r="L24" s="209"/>
      <c r="M24" s="209">
        <v>49</v>
      </c>
      <c r="N24" s="209"/>
      <c r="O24" s="210" t="s">
        <v>627</v>
      </c>
      <c r="S24" s="210"/>
      <c r="T24" s="210" t="s">
        <v>626</v>
      </c>
      <c r="U24" s="382"/>
      <c r="V24" s="209"/>
      <c r="W24" s="209">
        <v>49</v>
      </c>
      <c r="X24" s="209"/>
      <c r="Y24" s="346">
        <v>1</v>
      </c>
      <c r="Z24" s="209">
        <f>MIN(U24:X24)</f>
        <v>49</v>
      </c>
      <c r="AA24" s="209">
        <f>MAX(U24:X24)</f>
        <v>49</v>
      </c>
      <c r="AB24" s="349">
        <f>AVERAGE(U24:X24)</f>
        <v>49</v>
      </c>
      <c r="AC24" s="381"/>
      <c r="AD24" s="210" t="s">
        <v>627</v>
      </c>
    </row>
    <row r="25" spans="2:30" x14ac:dyDescent="0.3">
      <c r="B25" t="s">
        <v>678</v>
      </c>
      <c r="C25" t="s">
        <v>679</v>
      </c>
      <c r="D25" t="s">
        <v>58</v>
      </c>
      <c r="J25" s="7" t="s">
        <v>69</v>
      </c>
      <c r="K25" s="7" t="s">
        <v>69</v>
      </c>
      <c r="L25" s="3">
        <v>1.75</v>
      </c>
      <c r="M25" s="3">
        <v>0.98</v>
      </c>
      <c r="N25" s="3">
        <v>0.08</v>
      </c>
      <c r="O25" t="s">
        <v>70</v>
      </c>
      <c r="S25" s="7" t="s">
        <v>69</v>
      </c>
      <c r="T25" s="7" t="s">
        <v>69</v>
      </c>
      <c r="U25" s="383">
        <v>1.68</v>
      </c>
      <c r="V25" s="3">
        <v>1.75</v>
      </c>
      <c r="W25" s="3">
        <v>0.98</v>
      </c>
      <c r="X25" s="3">
        <v>0.08</v>
      </c>
      <c r="Y25" s="344">
        <v>4</v>
      </c>
      <c r="Z25" s="3">
        <f>MIN(U25:X25)</f>
        <v>0.08</v>
      </c>
      <c r="AA25" s="3">
        <f>MAX(U25:X25)</f>
        <v>1.75</v>
      </c>
      <c r="AB25" s="390">
        <f>AVERAGE(U25:X25)</f>
        <v>1.1225000000000001</v>
      </c>
      <c r="AC25" s="377">
        <f>STDEV(U25:X25)</f>
        <v>0.77710466905473319</v>
      </c>
      <c r="AD25" s="7" t="s">
        <v>70</v>
      </c>
    </row>
    <row r="26" spans="2:30" x14ac:dyDescent="0.3">
      <c r="B26" t="s">
        <v>680</v>
      </c>
      <c r="C26" t="s">
        <v>681</v>
      </c>
      <c r="D26" t="s">
        <v>58</v>
      </c>
      <c r="J26" s="318" t="s">
        <v>586</v>
      </c>
      <c r="K26" s="318" t="s">
        <v>586</v>
      </c>
      <c r="L26" s="328">
        <v>1</v>
      </c>
      <c r="M26" s="328">
        <v>1</v>
      </c>
      <c r="N26" s="328">
        <v>1</v>
      </c>
      <c r="O26" s="318" t="s">
        <v>58</v>
      </c>
      <c r="S26" s="138" t="s">
        <v>83</v>
      </c>
      <c r="T26" s="28"/>
      <c r="U26" s="336"/>
      <c r="V26" s="139"/>
      <c r="W26" s="139"/>
      <c r="X26" s="139"/>
      <c r="Y26" s="368"/>
      <c r="Z26" s="163"/>
      <c r="AA26" s="163"/>
      <c r="AB26" s="338"/>
      <c r="AC26" s="378"/>
      <c r="AD26" s="28"/>
    </row>
    <row r="27" spans="2:30" x14ac:dyDescent="0.3">
      <c r="B27" s="7" t="s">
        <v>682</v>
      </c>
      <c r="C27" s="7" t="s">
        <v>683</v>
      </c>
      <c r="D27" s="7" t="s">
        <v>58</v>
      </c>
      <c r="E27" s="7">
        <f>C27*1000000</f>
        <v>138</v>
      </c>
      <c r="F27" s="7" t="s">
        <v>82</v>
      </c>
      <c r="J27" s="138" t="s">
        <v>83</v>
      </c>
      <c r="K27" s="28"/>
      <c r="L27" s="139"/>
      <c r="M27" s="139"/>
      <c r="N27" s="139"/>
      <c r="O27" s="28"/>
      <c r="S27" s="35" t="s">
        <v>629</v>
      </c>
      <c r="T27" s="35" t="s">
        <v>630</v>
      </c>
      <c r="U27" s="384">
        <v>0.75</v>
      </c>
      <c r="V27" s="331">
        <v>0.75</v>
      </c>
      <c r="W27" s="331">
        <v>0.75</v>
      </c>
      <c r="X27" s="331">
        <v>0.75</v>
      </c>
      <c r="Y27" s="369">
        <v>4</v>
      </c>
      <c r="Z27" s="74">
        <f>MIN(U27:X27)</f>
        <v>0.75</v>
      </c>
      <c r="AA27" s="74">
        <f>MAX(U27:X27)</f>
        <v>0.75</v>
      </c>
      <c r="AB27" s="374">
        <f>AVERAGE(U27:X27)</f>
        <v>0.75</v>
      </c>
      <c r="AC27" s="379">
        <f>STDEV(U27:X27)</f>
        <v>0</v>
      </c>
      <c r="AD27" s="35" t="s">
        <v>70</v>
      </c>
    </row>
    <row r="28" spans="2:30" x14ac:dyDescent="0.3">
      <c r="B28" s="7" t="s">
        <v>615</v>
      </c>
      <c r="C28" t="s">
        <v>684</v>
      </c>
      <c r="D28" t="s">
        <v>58</v>
      </c>
      <c r="E28" s="7">
        <f>C28*1000000</f>
        <v>628</v>
      </c>
      <c r="F28" s="7" t="s">
        <v>82</v>
      </c>
      <c r="J28" s="35" t="s">
        <v>629</v>
      </c>
      <c r="K28" s="35" t="s">
        <v>630</v>
      </c>
      <c r="L28" s="331">
        <v>0.75</v>
      </c>
      <c r="M28" s="331">
        <v>0.75</v>
      </c>
      <c r="N28" s="331">
        <v>0.75</v>
      </c>
      <c r="O28" s="35" t="s">
        <v>70</v>
      </c>
      <c r="S28" s="138" t="s">
        <v>273</v>
      </c>
      <c r="T28" s="28"/>
      <c r="U28" s="336"/>
      <c r="V28" s="139"/>
      <c r="W28" s="139"/>
      <c r="X28" s="139"/>
      <c r="Y28" s="368"/>
      <c r="Z28" s="163"/>
      <c r="AA28" s="163"/>
      <c r="AB28" s="338"/>
      <c r="AC28" s="378"/>
      <c r="AD28" s="28"/>
    </row>
    <row r="29" spans="2:30" x14ac:dyDescent="0.3">
      <c r="B29" t="s">
        <v>685</v>
      </c>
      <c r="C29" t="s">
        <v>686</v>
      </c>
      <c r="D29" t="s">
        <v>58</v>
      </c>
      <c r="J29" s="138" t="s">
        <v>273</v>
      </c>
      <c r="K29" s="28"/>
      <c r="L29" s="139"/>
      <c r="M29" s="139"/>
      <c r="N29" s="139"/>
      <c r="O29" s="28"/>
      <c r="T29" t="s">
        <v>632</v>
      </c>
      <c r="U29" s="385">
        <v>31.3</v>
      </c>
      <c r="V29" s="3">
        <v>26</v>
      </c>
      <c r="W29" s="3">
        <v>26</v>
      </c>
      <c r="X29" s="3">
        <v>26</v>
      </c>
      <c r="Y29" s="344">
        <v>4</v>
      </c>
      <c r="Z29" s="3">
        <f>MIN(U29:X29)</f>
        <v>26</v>
      </c>
      <c r="AA29" s="3">
        <f>MAX(U29:X29)</f>
        <v>31.3</v>
      </c>
      <c r="AB29" s="338">
        <f>AVERAGE(U29:X29)</f>
        <v>27.324999999999999</v>
      </c>
      <c r="AC29" s="377">
        <f>STDEV(U29:X29)</f>
        <v>2.6500000000000004</v>
      </c>
      <c r="AD29" t="s">
        <v>88</v>
      </c>
    </row>
    <row r="30" spans="2:30" x14ac:dyDescent="0.3">
      <c r="B30" t="s">
        <v>687</v>
      </c>
      <c r="C30" t="s">
        <v>688</v>
      </c>
      <c r="D30" t="s">
        <v>58</v>
      </c>
      <c r="K30" t="s">
        <v>632</v>
      </c>
      <c r="L30" s="3">
        <v>26</v>
      </c>
      <c r="M30" s="3">
        <v>26</v>
      </c>
      <c r="N30" s="3">
        <v>26</v>
      </c>
      <c r="O30" t="s">
        <v>88</v>
      </c>
      <c r="S30" s="220"/>
      <c r="T30" s="220" t="s">
        <v>633</v>
      </c>
      <c r="U30" s="386">
        <v>7.46E-2</v>
      </c>
      <c r="V30" s="364">
        <v>0.11</v>
      </c>
      <c r="W30" s="364">
        <v>0.11</v>
      </c>
      <c r="X30" s="364">
        <v>0.23</v>
      </c>
      <c r="Y30" s="370">
        <v>4</v>
      </c>
      <c r="Z30" s="364">
        <f>MIN(U30:X30)</f>
        <v>7.46E-2</v>
      </c>
      <c r="AA30" s="364">
        <f>MAX(U30:X30)</f>
        <v>0.23</v>
      </c>
      <c r="AB30" s="373">
        <f>AVERAGE(U30:X30)</f>
        <v>0.13114999999999999</v>
      </c>
      <c r="AC30" s="380">
        <f>STDEV(U30:X30)</f>
        <v>6.7980070608966006E-2</v>
      </c>
      <c r="AD30" s="220" t="s">
        <v>58</v>
      </c>
    </row>
    <row r="31" spans="2:30" x14ac:dyDescent="0.3">
      <c r="B31" s="7" t="s">
        <v>689</v>
      </c>
      <c r="C31" t="s">
        <v>690</v>
      </c>
      <c r="D31" t="s">
        <v>58</v>
      </c>
      <c r="E31" s="7">
        <f>C31*1000000</f>
        <v>101</v>
      </c>
      <c r="F31" s="7" t="s">
        <v>82</v>
      </c>
      <c r="K31" t="s">
        <v>633</v>
      </c>
      <c r="L31" s="3">
        <v>0.11</v>
      </c>
      <c r="M31" s="3">
        <v>0.11</v>
      </c>
      <c r="N31" s="3">
        <v>0.23</v>
      </c>
      <c r="O31" t="s">
        <v>58</v>
      </c>
    </row>
    <row r="32" spans="2:30" x14ac:dyDescent="0.3">
      <c r="B32" s="100" t="s">
        <v>691</v>
      </c>
      <c r="C32" s="100" t="s">
        <v>692</v>
      </c>
      <c r="D32" s="100" t="s">
        <v>58</v>
      </c>
      <c r="E32" s="100">
        <f>C32*1000000</f>
        <v>153</v>
      </c>
      <c r="F32" s="100" t="s">
        <v>82</v>
      </c>
      <c r="L32" s="3"/>
      <c r="M32" s="3"/>
      <c r="N32" s="3"/>
    </row>
    <row r="33" spans="2:18" x14ac:dyDescent="0.3">
      <c r="B33" t="s">
        <v>693</v>
      </c>
      <c r="C33" t="s">
        <v>694</v>
      </c>
      <c r="D33" t="s">
        <v>58</v>
      </c>
    </row>
    <row r="34" spans="2:18" x14ac:dyDescent="0.3">
      <c r="B34" t="s">
        <v>695</v>
      </c>
      <c r="C34" t="s">
        <v>696</v>
      </c>
      <c r="D34" t="s">
        <v>58</v>
      </c>
    </row>
    <row r="35" spans="2:18" x14ac:dyDescent="0.3">
      <c r="B35" s="7" t="s">
        <v>697</v>
      </c>
      <c r="C35" t="s">
        <v>698</v>
      </c>
      <c r="D35" t="s">
        <v>58</v>
      </c>
      <c r="E35" s="7">
        <f>C35*1000000</f>
        <v>104</v>
      </c>
      <c r="F35" s="7" t="s">
        <v>82</v>
      </c>
    </row>
    <row r="36" spans="2:18" x14ac:dyDescent="0.3">
      <c r="B36" t="s">
        <v>699</v>
      </c>
      <c r="C36" s="18" t="s">
        <v>700</v>
      </c>
      <c r="D36" t="s">
        <v>58</v>
      </c>
    </row>
    <row r="37" spans="2:18" x14ac:dyDescent="0.3">
      <c r="B37" t="s">
        <v>701</v>
      </c>
      <c r="C37" t="s">
        <v>702</v>
      </c>
      <c r="D37" t="s">
        <v>58</v>
      </c>
    </row>
    <row r="38" spans="2:18" x14ac:dyDescent="0.3">
      <c r="B38" s="1" t="s">
        <v>703</v>
      </c>
      <c r="C38" s="1"/>
      <c r="D38" s="1"/>
    </row>
    <row r="39" spans="2:18" x14ac:dyDescent="0.3">
      <c r="B39" t="s">
        <v>704</v>
      </c>
      <c r="C39" s="18" t="s">
        <v>705</v>
      </c>
      <c r="D39" t="s">
        <v>58</v>
      </c>
    </row>
    <row r="40" spans="2:18" x14ac:dyDescent="0.3">
      <c r="B40" t="s">
        <v>706</v>
      </c>
      <c r="C40" s="18" t="s">
        <v>707</v>
      </c>
      <c r="D40" t="s">
        <v>58</v>
      </c>
    </row>
    <row r="41" spans="2:18" x14ac:dyDescent="0.3">
      <c r="B41" t="s">
        <v>708</v>
      </c>
      <c r="C41" t="s">
        <v>709</v>
      </c>
      <c r="D41" t="s">
        <v>58</v>
      </c>
    </row>
    <row r="42" spans="2:18" x14ac:dyDescent="0.3">
      <c r="B42" t="s">
        <v>710</v>
      </c>
      <c r="C42" s="18" t="s">
        <v>711</v>
      </c>
      <c r="D42" t="s">
        <v>58</v>
      </c>
    </row>
    <row r="43" spans="2:18" x14ac:dyDescent="0.3">
      <c r="B43" s="1" t="s">
        <v>712</v>
      </c>
      <c r="C43" s="1"/>
      <c r="D43" s="1"/>
    </row>
    <row r="44" spans="2:18" x14ac:dyDescent="0.3">
      <c r="B44" t="s">
        <v>713</v>
      </c>
      <c r="C44" t="s">
        <v>714</v>
      </c>
      <c r="D44" t="s">
        <v>715</v>
      </c>
    </row>
    <row r="45" spans="2:18" x14ac:dyDescent="0.3">
      <c r="B45" t="s">
        <v>716</v>
      </c>
      <c r="C45" t="s">
        <v>717</v>
      </c>
      <c r="D45" t="s">
        <v>715</v>
      </c>
    </row>
    <row r="46" spans="2:18" x14ac:dyDescent="0.3">
      <c r="B46" t="s">
        <v>718</v>
      </c>
      <c r="C46" s="18" t="s">
        <v>719</v>
      </c>
      <c r="D46" t="s">
        <v>715</v>
      </c>
    </row>
    <row r="47" spans="2:18" x14ac:dyDescent="0.3">
      <c r="B47" t="s">
        <v>720</v>
      </c>
      <c r="C47" t="s">
        <v>721</v>
      </c>
      <c r="D47" t="s">
        <v>715</v>
      </c>
    </row>
    <row r="48" spans="2:18" x14ac:dyDescent="0.3">
      <c r="B48" s="28" t="s">
        <v>722</v>
      </c>
      <c r="C48" s="28"/>
      <c r="D48" s="28"/>
      <c r="E48" s="7"/>
      <c r="F48" s="7"/>
      <c r="G48" s="7"/>
      <c r="H48" s="255"/>
      <c r="I48" s="7"/>
      <c r="P48" s="7"/>
      <c r="Q48" s="7"/>
      <c r="R48" s="255"/>
    </row>
    <row r="49" spans="1:18" x14ac:dyDescent="0.3">
      <c r="A49" s="7" t="s">
        <v>166</v>
      </c>
      <c r="B49" s="24" t="s">
        <v>723</v>
      </c>
      <c r="C49" s="24" t="s">
        <v>724</v>
      </c>
      <c r="D49" s="24" t="s">
        <v>153</v>
      </c>
      <c r="E49" s="8"/>
      <c r="F49" s="8"/>
      <c r="G49" s="8"/>
      <c r="H49" s="256"/>
      <c r="I49" s="8"/>
      <c r="J49" s="7"/>
      <c r="K49" s="7"/>
      <c r="L49" s="7"/>
      <c r="M49" s="7"/>
      <c r="N49" s="7"/>
      <c r="O49" s="7"/>
      <c r="P49" s="8"/>
      <c r="Q49" s="8"/>
      <c r="R49" s="256"/>
    </row>
    <row r="50" spans="1:18" ht="15.6" x14ac:dyDescent="0.3">
      <c r="A50" s="29" t="s">
        <v>725</v>
      </c>
      <c r="B50" s="30" t="s">
        <v>412</v>
      </c>
      <c r="C50" s="30" t="s">
        <v>247</v>
      </c>
      <c r="D50" s="30" t="s">
        <v>55</v>
      </c>
      <c r="E50" s="29"/>
      <c r="F50" s="29"/>
      <c r="G50" s="29"/>
      <c r="H50" s="257"/>
      <c r="I50" s="29"/>
      <c r="J50" s="8"/>
      <c r="K50" s="8"/>
      <c r="L50" s="8"/>
      <c r="M50" s="8"/>
      <c r="N50" s="8"/>
      <c r="O50" s="8"/>
      <c r="P50" s="29"/>
      <c r="Q50" s="29"/>
      <c r="R50" s="257"/>
    </row>
    <row r="51" spans="1:18" ht="15.6" x14ac:dyDescent="0.3">
      <c r="B51" s="1" t="s">
        <v>726</v>
      </c>
      <c r="C51" s="1"/>
      <c r="D51" s="1"/>
      <c r="J51" s="29"/>
      <c r="K51" s="29"/>
      <c r="L51" s="29"/>
      <c r="M51" s="29"/>
      <c r="N51" s="29"/>
      <c r="O51" s="29"/>
    </row>
    <row r="52" spans="1:18" x14ac:dyDescent="0.3">
      <c r="B52" t="s">
        <v>727</v>
      </c>
      <c r="C52" t="s">
        <v>728</v>
      </c>
      <c r="D52" t="s">
        <v>58</v>
      </c>
    </row>
    <row r="53" spans="1:18" x14ac:dyDescent="0.3">
      <c r="B53" t="s">
        <v>729</v>
      </c>
      <c r="C53" s="18" t="s">
        <v>730</v>
      </c>
      <c r="D53" t="s">
        <v>58</v>
      </c>
    </row>
    <row r="54" spans="1:18" x14ac:dyDescent="0.3">
      <c r="B54" s="28" t="s">
        <v>731</v>
      </c>
      <c r="C54" s="1"/>
      <c r="D54" s="1"/>
    </row>
    <row r="55" spans="1:18" x14ac:dyDescent="0.3">
      <c r="B55" t="s">
        <v>496</v>
      </c>
      <c r="C55" s="19" t="s">
        <v>732</v>
      </c>
      <c r="D55" t="s">
        <v>58</v>
      </c>
    </row>
    <row r="56" spans="1:18" x14ac:dyDescent="0.3">
      <c r="B56" t="s">
        <v>733</v>
      </c>
      <c r="C56" s="18" t="s">
        <v>734</v>
      </c>
      <c r="D56" t="s">
        <v>58</v>
      </c>
    </row>
    <row r="57" spans="1:18" x14ac:dyDescent="0.3">
      <c r="B57" t="s">
        <v>735</v>
      </c>
      <c r="C57" t="s">
        <v>736</v>
      </c>
      <c r="D57" t="s">
        <v>58</v>
      </c>
    </row>
    <row r="58" spans="1:18" x14ac:dyDescent="0.3">
      <c r="B58" t="s">
        <v>538</v>
      </c>
      <c r="C58" t="s">
        <v>737</v>
      </c>
      <c r="D58" t="s">
        <v>58</v>
      </c>
    </row>
    <row r="59" spans="1:18" x14ac:dyDescent="0.3">
      <c r="B59" t="s">
        <v>530</v>
      </c>
      <c r="C59" s="18" t="s">
        <v>738</v>
      </c>
      <c r="D59" t="s">
        <v>58</v>
      </c>
    </row>
    <row r="60" spans="1:18" x14ac:dyDescent="0.3">
      <c r="B60" t="s">
        <v>739</v>
      </c>
      <c r="C60" t="s">
        <v>740</v>
      </c>
      <c r="D60" t="s">
        <v>58</v>
      </c>
    </row>
    <row r="61" spans="1:18" x14ac:dyDescent="0.3">
      <c r="B61" t="s">
        <v>741</v>
      </c>
      <c r="C61" s="18" t="s">
        <v>742</v>
      </c>
      <c r="D61" t="s">
        <v>58</v>
      </c>
    </row>
    <row r="62" spans="1:18" x14ac:dyDescent="0.3">
      <c r="B62" t="s">
        <v>743</v>
      </c>
      <c r="C62" s="18" t="s">
        <v>744</v>
      </c>
      <c r="D62" t="s">
        <v>58</v>
      </c>
    </row>
    <row r="63" spans="1:18" x14ac:dyDescent="0.3">
      <c r="B63" t="s">
        <v>745</v>
      </c>
      <c r="C63" s="18" t="s">
        <v>746</v>
      </c>
      <c r="D63" t="s">
        <v>58</v>
      </c>
    </row>
    <row r="64" spans="1:18" x14ac:dyDescent="0.3">
      <c r="B64" t="s">
        <v>747</v>
      </c>
      <c r="C64" s="18" t="s">
        <v>748</v>
      </c>
      <c r="D64" t="s">
        <v>58</v>
      </c>
    </row>
    <row r="65" spans="2:4" x14ac:dyDescent="0.3">
      <c r="B65" t="s">
        <v>749</v>
      </c>
      <c r="C65" s="18" t="s">
        <v>750</v>
      </c>
      <c r="D65" t="s">
        <v>58</v>
      </c>
    </row>
    <row r="66" spans="2:4" x14ac:dyDescent="0.3">
      <c r="B66" t="s">
        <v>751</v>
      </c>
      <c r="C66" t="s">
        <v>752</v>
      </c>
      <c r="D66" t="s">
        <v>58</v>
      </c>
    </row>
    <row r="67" spans="2:4" x14ac:dyDescent="0.3">
      <c r="B67" t="s">
        <v>753</v>
      </c>
      <c r="C67" s="18" t="s">
        <v>754</v>
      </c>
      <c r="D67" t="s">
        <v>58</v>
      </c>
    </row>
    <row r="68" spans="2:4" x14ac:dyDescent="0.3">
      <c r="B68" t="s">
        <v>755</v>
      </c>
      <c r="C68" t="s">
        <v>756</v>
      </c>
      <c r="D68" t="s">
        <v>58</v>
      </c>
    </row>
    <row r="69" spans="2:4" x14ac:dyDescent="0.3">
      <c r="B69" t="s">
        <v>757</v>
      </c>
      <c r="C69" t="s">
        <v>758</v>
      </c>
      <c r="D69" t="s">
        <v>58</v>
      </c>
    </row>
    <row r="70" spans="2:4" x14ac:dyDescent="0.3">
      <c r="B70" t="s">
        <v>558</v>
      </c>
      <c r="C70" t="s">
        <v>759</v>
      </c>
      <c r="D70" t="s">
        <v>58</v>
      </c>
    </row>
    <row r="71" spans="2:4" x14ac:dyDescent="0.3">
      <c r="B71" t="s">
        <v>760</v>
      </c>
      <c r="C71" t="s">
        <v>761</v>
      </c>
      <c r="D71" t="s">
        <v>58</v>
      </c>
    </row>
    <row r="72" spans="2:4" x14ac:dyDescent="0.3">
      <c r="B72" t="s">
        <v>762</v>
      </c>
      <c r="C72" t="s">
        <v>763</v>
      </c>
      <c r="D72" t="s">
        <v>58</v>
      </c>
    </row>
    <row r="73" spans="2:4" x14ac:dyDescent="0.3">
      <c r="B73" t="s">
        <v>764</v>
      </c>
      <c r="C73" s="18" t="s">
        <v>765</v>
      </c>
      <c r="D73" t="s">
        <v>58</v>
      </c>
    </row>
    <row r="74" spans="2:4" x14ac:dyDescent="0.3">
      <c r="B74" t="s">
        <v>766</v>
      </c>
      <c r="C74" t="s">
        <v>767</v>
      </c>
      <c r="D74" t="s">
        <v>58</v>
      </c>
    </row>
    <row r="75" spans="2:4" x14ac:dyDescent="0.3">
      <c r="B75" t="s">
        <v>768</v>
      </c>
      <c r="C75" t="s">
        <v>769</v>
      </c>
      <c r="D75" t="s">
        <v>58</v>
      </c>
    </row>
    <row r="76" spans="2:4" x14ac:dyDescent="0.3">
      <c r="B76" t="s">
        <v>770</v>
      </c>
      <c r="C76" t="s">
        <v>771</v>
      </c>
      <c r="D76" t="s">
        <v>58</v>
      </c>
    </row>
    <row r="77" spans="2:4" x14ac:dyDescent="0.3">
      <c r="B77" t="s">
        <v>772</v>
      </c>
      <c r="C77" t="s">
        <v>773</v>
      </c>
      <c r="D77" t="s">
        <v>58</v>
      </c>
    </row>
    <row r="78" spans="2:4" x14ac:dyDescent="0.3">
      <c r="B78" s="28" t="s">
        <v>774</v>
      </c>
      <c r="C78" s="1"/>
      <c r="D78" s="1"/>
    </row>
    <row r="79" spans="2:4" x14ac:dyDescent="0.3">
      <c r="B79" t="s">
        <v>775</v>
      </c>
      <c r="C79" t="s">
        <v>776</v>
      </c>
      <c r="D79" t="s">
        <v>58</v>
      </c>
    </row>
    <row r="80" spans="2:4" x14ac:dyDescent="0.3">
      <c r="B80" t="s">
        <v>777</v>
      </c>
      <c r="C80" s="18" t="s">
        <v>778</v>
      </c>
      <c r="D80" t="s">
        <v>58</v>
      </c>
    </row>
    <row r="81" spans="1:6" x14ac:dyDescent="0.3">
      <c r="B81" t="s">
        <v>779</v>
      </c>
      <c r="C81" t="s">
        <v>780</v>
      </c>
      <c r="D81" t="s">
        <v>58</v>
      </c>
    </row>
    <row r="82" spans="1:6" x14ac:dyDescent="0.3">
      <c r="B82" t="s">
        <v>781</v>
      </c>
      <c r="C82" t="s">
        <v>782</v>
      </c>
      <c r="D82" t="s">
        <v>58</v>
      </c>
    </row>
    <row r="83" spans="1:6" x14ac:dyDescent="0.3">
      <c r="B83" t="s">
        <v>783</v>
      </c>
      <c r="C83" t="s">
        <v>784</v>
      </c>
      <c r="D83" t="s">
        <v>58</v>
      </c>
    </row>
    <row r="84" spans="1:6" x14ac:dyDescent="0.3">
      <c r="B84" s="28" t="s">
        <v>785</v>
      </c>
      <c r="C84" s="1"/>
      <c r="D84" s="1"/>
    </row>
    <row r="85" spans="1:6" x14ac:dyDescent="0.3">
      <c r="B85" s="7" t="s">
        <v>786</v>
      </c>
      <c r="C85" s="7" t="s">
        <v>787</v>
      </c>
      <c r="D85" s="7" t="s">
        <v>58</v>
      </c>
      <c r="E85" s="7">
        <f>C85*1000</f>
        <v>31.3</v>
      </c>
      <c r="F85" s="7" t="s">
        <v>88</v>
      </c>
    </row>
    <row r="86" spans="1:6" x14ac:dyDescent="0.3">
      <c r="B86" s="7" t="s">
        <v>788</v>
      </c>
      <c r="C86" s="329" t="s">
        <v>789</v>
      </c>
      <c r="D86" s="7" t="s">
        <v>58</v>
      </c>
      <c r="E86" s="363">
        <v>7.46E-2</v>
      </c>
    </row>
    <row r="87" spans="1:6" x14ac:dyDescent="0.3">
      <c r="B87" t="s">
        <v>790</v>
      </c>
      <c r="C87" t="s">
        <v>791</v>
      </c>
      <c r="D87" t="s">
        <v>58</v>
      </c>
    </row>
    <row r="88" spans="1:6" x14ac:dyDescent="0.3">
      <c r="B88" t="s">
        <v>792</v>
      </c>
      <c r="C88" s="18" t="s">
        <v>793</v>
      </c>
      <c r="D88" t="s">
        <v>58</v>
      </c>
    </row>
    <row r="90" spans="1:6" x14ac:dyDescent="0.3">
      <c r="A90" s="24" t="s">
        <v>794</v>
      </c>
      <c r="B90" s="35"/>
      <c r="C90" s="35"/>
      <c r="D90" s="36"/>
    </row>
    <row r="91" spans="1:6" x14ac:dyDescent="0.3">
      <c r="A91" t="s">
        <v>795</v>
      </c>
    </row>
  </sheetData>
  <mergeCells count="5">
    <mergeCell ref="L3:N3"/>
    <mergeCell ref="K2:Q2"/>
    <mergeCell ref="V3:X3"/>
    <mergeCell ref="V2:W2"/>
    <mergeCell ref="T1:AD1"/>
  </mergeCells>
  <hyperlinks>
    <hyperlink ref="K2" r:id="rId1" xr:uid="{EC434114-E0F1-4F04-91E5-AFC5B78270C9}"/>
  </hyperlinks>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05AB5A-DF72-4822-83CC-71AB0A450B06}">
  <dimension ref="G7:BC119"/>
  <sheetViews>
    <sheetView topLeftCell="J48" workbookViewId="0">
      <selection activeCell="R75" sqref="R75:V75"/>
    </sheetView>
  </sheetViews>
  <sheetFormatPr defaultRowHeight="14.4" x14ac:dyDescent="0.3"/>
  <cols>
    <col min="3" max="3" width="8.33203125" customWidth="1"/>
    <col min="6" max="6" width="13.6640625" bestFit="1" customWidth="1"/>
    <col min="9" max="9" width="17.109375" bestFit="1" customWidth="1"/>
    <col min="10" max="10" width="14.88671875" customWidth="1"/>
    <col min="11" max="11" width="17.88671875" bestFit="1" customWidth="1"/>
    <col min="12" max="12" width="12.88671875" customWidth="1"/>
    <col min="13" max="13" width="14.6640625" customWidth="1"/>
    <col min="14" max="14" width="13.88671875" bestFit="1" customWidth="1"/>
    <col min="16" max="16" width="12.6640625" customWidth="1"/>
    <col min="17" max="17" width="35.5546875" customWidth="1"/>
    <col min="18" max="18" width="28.5546875" bestFit="1" customWidth="1"/>
    <col min="19" max="19" width="13.5546875" bestFit="1" customWidth="1"/>
    <col min="23" max="23" width="18.109375" customWidth="1"/>
    <col min="24" max="24" width="25.33203125" bestFit="1" customWidth="1"/>
    <col min="25" max="25" width="17.44140625" customWidth="1"/>
    <col min="26" max="26" width="20.44140625" bestFit="1" customWidth="1"/>
    <col min="27" max="27" width="14" customWidth="1"/>
    <col min="28" max="28" width="20" customWidth="1"/>
    <col min="29" max="29" width="20.109375" customWidth="1"/>
    <col min="30" max="30" width="16.5546875" customWidth="1"/>
    <col min="31" max="31" width="18.33203125" customWidth="1"/>
    <col min="32" max="32" width="29.6640625" customWidth="1"/>
    <col min="36" max="36" width="11.5546875" customWidth="1"/>
    <col min="37" max="37" width="60.5546875" bestFit="1" customWidth="1"/>
    <col min="47" max="47" width="25.33203125" customWidth="1"/>
    <col min="51" max="51" width="14.88671875" bestFit="1" customWidth="1"/>
    <col min="53" max="53" width="12" customWidth="1"/>
  </cols>
  <sheetData>
    <row r="7" spans="7:32" x14ac:dyDescent="0.3">
      <c r="Y7" s="718" t="s">
        <v>796</v>
      </c>
      <c r="Z7" s="657" t="s">
        <v>797</v>
      </c>
      <c r="AA7" s="657"/>
      <c r="AB7" s="657"/>
      <c r="AC7" s="657"/>
      <c r="AD7" s="657"/>
      <c r="AE7" s="657"/>
      <c r="AF7" s="657" t="s">
        <v>798</v>
      </c>
    </row>
    <row r="8" spans="7:32" x14ac:dyDescent="0.3">
      <c r="G8" s="690" t="s">
        <v>799</v>
      </c>
      <c r="H8" s="690"/>
      <c r="R8" t="s">
        <v>800</v>
      </c>
      <c r="Y8" s="718"/>
      <c r="Z8" s="657"/>
      <c r="AA8" s="657"/>
      <c r="AB8" s="657"/>
      <c r="AC8" s="657"/>
      <c r="AD8" s="657"/>
      <c r="AE8" s="657"/>
      <c r="AF8" s="657"/>
    </row>
    <row r="9" spans="7:32" x14ac:dyDescent="0.3">
      <c r="Y9" s="718"/>
      <c r="Z9" s="657"/>
      <c r="AA9" s="657"/>
      <c r="AB9" s="657"/>
      <c r="AC9" s="657"/>
      <c r="AD9" s="657"/>
      <c r="AE9" s="657"/>
      <c r="AF9" s="657"/>
    </row>
    <row r="10" spans="7:32" x14ac:dyDescent="0.3">
      <c r="Y10" s="718"/>
      <c r="Z10" s="657"/>
      <c r="AA10" s="657"/>
      <c r="AB10" s="657"/>
      <c r="AC10" s="657"/>
      <c r="AD10" s="657"/>
      <c r="AE10" s="657"/>
      <c r="AF10" s="657"/>
    </row>
    <row r="11" spans="7:32" x14ac:dyDescent="0.3">
      <c r="Y11" s="718"/>
      <c r="Z11" s="657"/>
      <c r="AA11" s="657"/>
      <c r="AB11" s="657"/>
      <c r="AC11" s="657"/>
      <c r="AD11" s="657"/>
      <c r="AE11" s="657"/>
      <c r="AF11" s="657"/>
    </row>
    <row r="12" spans="7:32" x14ac:dyDescent="0.3">
      <c r="Y12" s="718"/>
      <c r="Z12" s="657"/>
      <c r="AA12" s="657"/>
      <c r="AB12" s="657"/>
      <c r="AC12" s="657"/>
      <c r="AD12" s="657"/>
      <c r="AE12" s="657"/>
      <c r="AF12" s="657"/>
    </row>
    <row r="13" spans="7:32" x14ac:dyDescent="0.3">
      <c r="G13" s="690" t="s">
        <v>801</v>
      </c>
      <c r="H13" s="690"/>
      <c r="Y13" s="718" t="s">
        <v>802</v>
      </c>
      <c r="Z13" s="723" t="s">
        <v>803</v>
      </c>
      <c r="AA13" s="723"/>
      <c r="AB13" s="723"/>
      <c r="AC13" s="723"/>
      <c r="AD13" s="723"/>
      <c r="AE13" s="723"/>
      <c r="AF13" s="657" t="s">
        <v>804</v>
      </c>
    </row>
    <row r="14" spans="7:32" ht="27" customHeight="1" x14ac:dyDescent="0.3">
      <c r="P14" s="37"/>
      <c r="R14" t="s">
        <v>805</v>
      </c>
      <c r="Y14" s="718"/>
      <c r="Z14" s="723"/>
      <c r="AA14" s="723"/>
      <c r="AB14" s="723"/>
      <c r="AC14" s="723"/>
      <c r="AD14" s="723"/>
      <c r="AE14" s="723"/>
      <c r="AF14" s="657"/>
    </row>
    <row r="15" spans="7:32" ht="45" customHeight="1" x14ac:dyDescent="0.3">
      <c r="Y15" s="718"/>
      <c r="Z15" s="657" t="s">
        <v>806</v>
      </c>
      <c r="AA15" s="657"/>
      <c r="AB15" s="657"/>
      <c r="AC15" s="657"/>
      <c r="AD15" s="657"/>
      <c r="AE15" s="657"/>
      <c r="AF15" s="657"/>
    </row>
    <row r="16" spans="7:32" x14ac:dyDescent="0.3">
      <c r="Y16" s="718"/>
      <c r="Z16" s="657"/>
      <c r="AA16" s="657"/>
      <c r="AB16" s="657"/>
      <c r="AC16" s="657"/>
      <c r="AD16" s="657"/>
      <c r="AE16" s="657"/>
      <c r="AF16" s="657"/>
    </row>
    <row r="17" spans="9:55" x14ac:dyDescent="0.3">
      <c r="Y17" s="718"/>
      <c r="Z17" s="657"/>
      <c r="AA17" s="657"/>
      <c r="AB17" s="657"/>
      <c r="AC17" s="657"/>
      <c r="AD17" s="657"/>
      <c r="AE17" s="657"/>
      <c r="AF17" s="657"/>
    </row>
    <row r="18" spans="9:55" x14ac:dyDescent="0.3">
      <c r="Y18" s="718"/>
      <c r="Z18" s="657"/>
      <c r="AA18" s="657"/>
      <c r="AB18" s="657"/>
      <c r="AC18" s="657"/>
      <c r="AD18" s="657"/>
      <c r="AE18" s="657"/>
      <c r="AF18" s="657"/>
    </row>
    <row r="19" spans="9:55" x14ac:dyDescent="0.3">
      <c r="Y19" s="718"/>
      <c r="Z19" s="657"/>
      <c r="AA19" s="657"/>
      <c r="AB19" s="657"/>
      <c r="AC19" s="657"/>
      <c r="AD19" s="657"/>
      <c r="AE19" s="657"/>
      <c r="AF19" s="657"/>
    </row>
    <row r="20" spans="9:55" ht="15" customHeight="1" x14ac:dyDescent="0.3">
      <c r="I20" s="16" t="s">
        <v>807</v>
      </c>
      <c r="J20" s="16"/>
      <c r="K20" s="68" t="s">
        <v>54</v>
      </c>
      <c r="L20" s="68" t="s">
        <v>55</v>
      </c>
      <c r="M20" s="68" t="s">
        <v>247</v>
      </c>
      <c r="N20" s="68" t="s">
        <v>83</v>
      </c>
      <c r="O20" s="68" t="s">
        <v>55</v>
      </c>
      <c r="P20" s="68" t="s">
        <v>247</v>
      </c>
      <c r="Q20" s="16"/>
      <c r="Y20" s="718"/>
      <c r="Z20" s="657"/>
      <c r="AA20" s="657"/>
      <c r="AB20" s="657"/>
      <c r="AC20" s="657"/>
      <c r="AD20" s="657"/>
      <c r="AE20" s="657"/>
      <c r="AF20" s="657"/>
    </row>
    <row r="21" spans="9:55" ht="61.5" customHeight="1" x14ac:dyDescent="0.3">
      <c r="I21" s="731" t="s">
        <v>808</v>
      </c>
      <c r="J21" s="732" t="s">
        <v>809</v>
      </c>
      <c r="K21" s="69" t="s">
        <v>799</v>
      </c>
      <c r="L21" s="67" t="s">
        <v>810</v>
      </c>
      <c r="M21" s="67">
        <v>17.8</v>
      </c>
      <c r="N21" s="69" t="s">
        <v>811</v>
      </c>
      <c r="O21" s="67" t="s">
        <v>812</v>
      </c>
      <c r="P21" s="67">
        <v>2.9</v>
      </c>
      <c r="Q21" s="656" t="s">
        <v>813</v>
      </c>
      <c r="Y21" s="657" t="s">
        <v>814</v>
      </c>
      <c r="Z21" s="657" t="s">
        <v>815</v>
      </c>
      <c r="AA21" s="657"/>
      <c r="AB21" s="657"/>
      <c r="AC21" s="657"/>
      <c r="AD21" s="657"/>
      <c r="AE21" s="657"/>
      <c r="AF21" s="723" t="s">
        <v>816</v>
      </c>
    </row>
    <row r="22" spans="9:55" ht="48.75" customHeight="1" x14ac:dyDescent="0.3">
      <c r="I22" s="715"/>
      <c r="J22" s="651"/>
      <c r="K22" s="38" t="s">
        <v>817</v>
      </c>
      <c r="L22" s="39" t="s">
        <v>67</v>
      </c>
      <c r="M22" s="39">
        <v>4.9000000000000004</v>
      </c>
      <c r="N22" s="58"/>
      <c r="O22" s="58"/>
      <c r="P22" s="58"/>
      <c r="Q22" s="657"/>
      <c r="Y22" s="657"/>
      <c r="Z22" s="657"/>
      <c r="AA22" s="657"/>
      <c r="AB22" s="657"/>
      <c r="AC22" s="657"/>
      <c r="AD22" s="657"/>
      <c r="AE22" s="657"/>
      <c r="AF22" s="723"/>
    </row>
    <row r="23" spans="9:55" ht="62.25" customHeight="1" x14ac:dyDescent="0.3">
      <c r="I23" s="64"/>
      <c r="J23" s="66" t="s">
        <v>818</v>
      </c>
      <c r="K23" s="62"/>
      <c r="L23" s="62"/>
      <c r="M23" s="62"/>
      <c r="N23" s="63" t="s">
        <v>819</v>
      </c>
      <c r="O23" s="64" t="s">
        <v>188</v>
      </c>
      <c r="P23" s="64">
        <v>20</v>
      </c>
      <c r="Q23" s="13" t="s">
        <v>820</v>
      </c>
      <c r="T23" s="3" t="s">
        <v>821</v>
      </c>
      <c r="V23" s="50" t="s">
        <v>822</v>
      </c>
      <c r="Y23" s="704"/>
      <c r="Z23" s="716" t="s">
        <v>823</v>
      </c>
      <c r="AA23" s="717"/>
      <c r="AB23" s="717"/>
      <c r="AC23" s="717"/>
      <c r="AD23" s="717"/>
      <c r="AE23" s="717"/>
      <c r="AF23" s="729" t="s">
        <v>824</v>
      </c>
    </row>
    <row r="24" spans="9:55" ht="15" customHeight="1" x14ac:dyDescent="0.3">
      <c r="I24" s="658" t="s">
        <v>825</v>
      </c>
      <c r="J24" s="651" t="s">
        <v>826</v>
      </c>
      <c r="K24" s="704"/>
      <c r="L24" s="704"/>
      <c r="M24" s="704"/>
      <c r="N24" s="704"/>
      <c r="O24" s="704"/>
      <c r="P24" s="704"/>
      <c r="Q24" s="657" t="s">
        <v>827</v>
      </c>
      <c r="Y24" s="704"/>
      <c r="Z24" s="717"/>
      <c r="AA24" s="717"/>
      <c r="AB24" s="717"/>
      <c r="AC24" s="717"/>
      <c r="AD24" s="717"/>
      <c r="AE24" s="717"/>
      <c r="AF24" s="718"/>
    </row>
    <row r="25" spans="9:55" x14ac:dyDescent="0.3">
      <c r="I25" s="727"/>
      <c r="J25" s="651"/>
      <c r="K25" s="704"/>
      <c r="L25" s="704"/>
      <c r="M25" s="704"/>
      <c r="N25" s="704"/>
      <c r="O25" s="704"/>
      <c r="P25" s="704"/>
      <c r="Q25" s="657"/>
      <c r="Y25" s="704"/>
      <c r="Z25" s="717"/>
      <c r="AA25" s="717"/>
      <c r="AB25" s="717"/>
      <c r="AC25" s="717"/>
      <c r="AD25" s="717"/>
      <c r="AE25" s="717"/>
      <c r="AF25" s="718"/>
    </row>
    <row r="26" spans="9:55" x14ac:dyDescent="0.3">
      <c r="I26" s="727"/>
      <c r="J26" s="651"/>
      <c r="K26" s="704"/>
      <c r="L26" s="704"/>
      <c r="M26" s="704"/>
      <c r="N26" s="704"/>
      <c r="O26" s="704"/>
      <c r="P26" s="704"/>
      <c r="Q26" s="657"/>
      <c r="Y26" s="704"/>
      <c r="Z26" s="717"/>
      <c r="AA26" s="717"/>
      <c r="AB26" s="717"/>
      <c r="AC26" s="717"/>
      <c r="AD26" s="717"/>
      <c r="AE26" s="717"/>
      <c r="AF26" s="718"/>
      <c r="AJ26" s="724" t="s">
        <v>828</v>
      </c>
      <c r="AK26" s="725"/>
      <c r="AL26" s="725"/>
      <c r="AM26" s="726"/>
      <c r="AU26" s="700"/>
      <c r="AV26" s="700"/>
      <c r="AW26" s="700"/>
      <c r="AX26" s="700"/>
      <c r="AY26" s="700"/>
      <c r="AZ26" s="700"/>
      <c r="BA26" s="700"/>
      <c r="BB26" s="700"/>
      <c r="BC26" s="700"/>
    </row>
    <row r="27" spans="9:55" x14ac:dyDescent="0.3">
      <c r="I27" s="727"/>
      <c r="J27" s="651"/>
      <c r="K27" s="704"/>
      <c r="L27" s="704"/>
      <c r="M27" s="704"/>
      <c r="N27" s="704"/>
      <c r="O27" s="704"/>
      <c r="P27" s="704"/>
      <c r="Q27" s="657"/>
      <c r="AJ27" s="382" t="s">
        <v>829</v>
      </c>
      <c r="AK27" s="382" t="s">
        <v>830</v>
      </c>
      <c r="AL27" s="382" t="s">
        <v>831</v>
      </c>
      <c r="AM27" s="382" t="s">
        <v>832</v>
      </c>
      <c r="AU27" t="s">
        <v>833</v>
      </c>
      <c r="AV27" t="s">
        <v>834</v>
      </c>
      <c r="AW27" t="s">
        <v>835</v>
      </c>
      <c r="AX27" s="700" t="s">
        <v>836</v>
      </c>
      <c r="AY27" s="700"/>
      <c r="AZ27" s="700" t="s">
        <v>837</v>
      </c>
      <c r="BA27" s="700"/>
      <c r="BB27" s="700" t="s">
        <v>838</v>
      </c>
      <c r="BC27" s="700"/>
    </row>
    <row r="28" spans="9:55" x14ac:dyDescent="0.3">
      <c r="I28" s="727"/>
      <c r="J28" s="651"/>
      <c r="K28" s="704"/>
      <c r="L28" s="704"/>
      <c r="M28" s="704"/>
      <c r="N28" s="704"/>
      <c r="O28" s="704"/>
      <c r="P28" s="704"/>
      <c r="Q28" s="657"/>
      <c r="AJ28" s="718" t="s">
        <v>839</v>
      </c>
      <c r="AK28" s="16" t="s">
        <v>840</v>
      </c>
      <c r="AL28" s="16">
        <v>0.17199999999999999</v>
      </c>
      <c r="AM28" s="16" t="s">
        <v>351</v>
      </c>
      <c r="AU28" t="s">
        <v>841</v>
      </c>
      <c r="AV28" t="s">
        <v>842</v>
      </c>
      <c r="AW28" s="700" t="s">
        <v>843</v>
      </c>
      <c r="AX28" s="700"/>
      <c r="AY28" s="700"/>
      <c r="AZ28" s="700"/>
      <c r="BA28" s="700"/>
      <c r="BB28" s="700"/>
      <c r="BC28" s="700"/>
    </row>
    <row r="29" spans="9:55" x14ac:dyDescent="0.3">
      <c r="I29" s="727"/>
      <c r="J29" s="651"/>
      <c r="K29" s="704"/>
      <c r="L29" s="704"/>
      <c r="M29" s="704"/>
      <c r="N29" s="704"/>
      <c r="O29" s="704"/>
      <c r="P29" s="704"/>
      <c r="Q29" s="657"/>
      <c r="AJ29" s="718"/>
      <c r="AK29" s="16" t="s">
        <v>844</v>
      </c>
      <c r="AL29" s="16">
        <v>0.70699999999999996</v>
      </c>
      <c r="AM29" s="16" t="s">
        <v>845</v>
      </c>
      <c r="AU29" t="s">
        <v>846</v>
      </c>
      <c r="AW29" t="s">
        <v>847</v>
      </c>
      <c r="AY29" s="700" t="s">
        <v>848</v>
      </c>
      <c r="AZ29" s="700"/>
      <c r="BA29" s="700"/>
      <c r="BB29" s="700"/>
      <c r="BC29" s="700"/>
    </row>
    <row r="30" spans="9:55" x14ac:dyDescent="0.3">
      <c r="I30" s="727"/>
      <c r="J30" s="651"/>
      <c r="K30" s="704"/>
      <c r="L30" s="704"/>
      <c r="M30" s="704"/>
      <c r="N30" s="704"/>
      <c r="O30" s="704"/>
      <c r="P30" s="704"/>
      <c r="Q30" s="657"/>
      <c r="AJ30" s="718"/>
      <c r="AK30" s="16" t="s">
        <v>849</v>
      </c>
      <c r="AL30" s="16">
        <v>0.70699999999999996</v>
      </c>
      <c r="AM30" s="16" t="s">
        <v>845</v>
      </c>
      <c r="AU30" t="s">
        <v>850</v>
      </c>
      <c r="AV30" t="s">
        <v>851</v>
      </c>
      <c r="AX30">
        <v>50</v>
      </c>
      <c r="AY30" s="700"/>
      <c r="AZ30" s="700"/>
      <c r="BA30" s="700"/>
      <c r="BB30" s="700"/>
      <c r="BC30" s="700"/>
    </row>
    <row r="31" spans="9:55" ht="27" customHeight="1" x14ac:dyDescent="0.3">
      <c r="I31" s="656"/>
      <c r="J31" s="651"/>
      <c r="K31" s="704"/>
      <c r="L31" s="704"/>
      <c r="M31" s="704"/>
      <c r="N31" s="704"/>
      <c r="O31" s="704"/>
      <c r="P31" s="704"/>
      <c r="Q31" s="657"/>
      <c r="AJ31" s="16" t="s">
        <v>852</v>
      </c>
      <c r="AK31" s="16" t="s">
        <v>853</v>
      </c>
      <c r="AL31" s="16">
        <v>17241</v>
      </c>
      <c r="AM31" s="16" t="s">
        <v>58</v>
      </c>
      <c r="AU31" s="700" t="s">
        <v>854</v>
      </c>
      <c r="AV31" s="700" t="s">
        <v>855</v>
      </c>
      <c r="AX31">
        <v>100</v>
      </c>
      <c r="AY31" s="700">
        <v>100</v>
      </c>
      <c r="AZ31" s="700"/>
      <c r="BA31" s="700"/>
      <c r="BB31" s="700">
        <v>100</v>
      </c>
      <c r="BC31" s="700"/>
    </row>
    <row r="32" spans="9:55" x14ac:dyDescent="0.3">
      <c r="I32" s="658" t="s">
        <v>856</v>
      </c>
      <c r="J32" s="651" t="s">
        <v>857</v>
      </c>
      <c r="K32" s="704"/>
      <c r="L32" s="704"/>
      <c r="M32" s="704"/>
      <c r="N32" s="704"/>
      <c r="O32" s="704"/>
      <c r="P32" s="704"/>
      <c r="Q32" s="657" t="s">
        <v>858</v>
      </c>
      <c r="AJ32" s="730" t="s">
        <v>859</v>
      </c>
      <c r="AK32" s="577" t="s">
        <v>860</v>
      </c>
      <c r="AL32" s="577">
        <v>5172</v>
      </c>
      <c r="AM32" s="577" t="s">
        <v>861</v>
      </c>
      <c r="AU32" s="700"/>
      <c r="AV32" s="700"/>
      <c r="AW32" s="700" t="s">
        <v>862</v>
      </c>
      <c r="AX32" s="700"/>
      <c r="AY32" s="700"/>
      <c r="AZ32" s="700"/>
      <c r="BA32" s="700"/>
      <c r="BB32" s="700"/>
      <c r="BC32" s="700"/>
    </row>
    <row r="33" spans="9:55" x14ac:dyDescent="0.3">
      <c r="I33" s="727"/>
      <c r="J33" s="651"/>
      <c r="K33" s="704"/>
      <c r="L33" s="704"/>
      <c r="M33" s="704"/>
      <c r="N33" s="704"/>
      <c r="O33" s="704"/>
      <c r="P33" s="704"/>
      <c r="Q33" s="657"/>
      <c r="AJ33" s="730"/>
      <c r="AK33" s="577" t="s">
        <v>863</v>
      </c>
      <c r="AL33" s="577">
        <v>2931</v>
      </c>
      <c r="AM33" s="577" t="s">
        <v>861</v>
      </c>
      <c r="AU33" s="700"/>
      <c r="AV33" s="700"/>
      <c r="AW33" s="700">
        <v>120</v>
      </c>
      <c r="AX33" s="700">
        <v>150</v>
      </c>
      <c r="AY33" s="700"/>
      <c r="AZ33" s="700" t="s">
        <v>864</v>
      </c>
      <c r="BA33" s="700"/>
      <c r="BB33" s="700">
        <v>120</v>
      </c>
      <c r="BC33" s="700"/>
    </row>
    <row r="34" spans="9:55" x14ac:dyDescent="0.3">
      <c r="I34" s="727"/>
      <c r="J34" s="651"/>
      <c r="K34" s="704"/>
      <c r="L34" s="704"/>
      <c r="M34" s="704"/>
      <c r="N34" s="704"/>
      <c r="O34" s="704"/>
      <c r="P34" s="704"/>
      <c r="Q34" s="657"/>
      <c r="AJ34" s="730"/>
      <c r="AK34" s="577" t="s">
        <v>865</v>
      </c>
      <c r="AL34" s="577">
        <v>3793</v>
      </c>
      <c r="AM34" s="577" t="s">
        <v>861</v>
      </c>
      <c r="AU34" s="700" t="s">
        <v>866</v>
      </c>
      <c r="AV34" s="700"/>
      <c r="AW34" s="700"/>
      <c r="AX34" s="700"/>
      <c r="AY34" s="700"/>
      <c r="AZ34" s="700"/>
      <c r="BA34" s="700"/>
      <c r="BB34" s="700"/>
      <c r="BC34" s="700"/>
    </row>
    <row r="35" spans="9:55" x14ac:dyDescent="0.3">
      <c r="I35" s="727"/>
      <c r="J35" s="651"/>
      <c r="K35" s="704"/>
      <c r="L35" s="704"/>
      <c r="M35" s="704"/>
      <c r="N35" s="704"/>
      <c r="O35" s="704"/>
      <c r="P35" s="704"/>
      <c r="Q35" s="657"/>
      <c r="AJ35" s="657" t="s">
        <v>867</v>
      </c>
      <c r="AK35" s="16" t="s">
        <v>868</v>
      </c>
      <c r="AL35" s="16">
        <v>14310</v>
      </c>
      <c r="AM35" s="16" t="s">
        <v>58</v>
      </c>
      <c r="AU35" t="s">
        <v>869</v>
      </c>
      <c r="AV35" t="s">
        <v>851</v>
      </c>
      <c r="AW35">
        <v>200</v>
      </c>
      <c r="AX35" s="700">
        <v>150</v>
      </c>
      <c r="AY35" s="700"/>
      <c r="AZ35">
        <v>150</v>
      </c>
      <c r="BA35">
        <v>2</v>
      </c>
      <c r="BB35" t="s">
        <v>870</v>
      </c>
      <c r="BC35">
        <v>2</v>
      </c>
    </row>
    <row r="36" spans="9:55" x14ac:dyDescent="0.3">
      <c r="I36" s="727"/>
      <c r="J36" s="651"/>
      <c r="K36" s="704"/>
      <c r="L36" s="704"/>
      <c r="M36" s="704"/>
      <c r="N36" s="704"/>
      <c r="O36" s="704"/>
      <c r="P36" s="704"/>
      <c r="Q36" s="657"/>
      <c r="AJ36" s="657"/>
      <c r="AK36" s="16" t="s">
        <v>871</v>
      </c>
      <c r="AL36" s="16">
        <v>13121</v>
      </c>
      <c r="AM36" s="16" t="s">
        <v>58</v>
      </c>
      <c r="AW36" t="s">
        <v>872</v>
      </c>
      <c r="AX36" s="700">
        <v>300</v>
      </c>
      <c r="AY36" s="700"/>
      <c r="BB36" t="s">
        <v>873</v>
      </c>
    </row>
    <row r="37" spans="9:55" x14ac:dyDescent="0.3">
      <c r="I37" s="727"/>
      <c r="J37" s="651"/>
      <c r="K37" s="704"/>
      <c r="L37" s="704"/>
      <c r="M37" s="704"/>
      <c r="N37" s="704"/>
      <c r="O37" s="704"/>
      <c r="P37" s="704"/>
      <c r="Q37" s="657"/>
      <c r="AJ37" s="657"/>
      <c r="AK37" s="16" t="s">
        <v>874</v>
      </c>
      <c r="AL37" s="16">
        <v>16707</v>
      </c>
      <c r="AM37" s="16" t="s">
        <v>58</v>
      </c>
      <c r="AU37" t="s">
        <v>875</v>
      </c>
      <c r="AV37" t="s">
        <v>876</v>
      </c>
      <c r="AW37">
        <v>100</v>
      </c>
      <c r="AX37" s="700"/>
      <c r="AY37" s="700"/>
    </row>
    <row r="38" spans="9:55" x14ac:dyDescent="0.3">
      <c r="I38" s="727"/>
      <c r="J38" s="651"/>
      <c r="K38" s="704"/>
      <c r="L38" s="704"/>
      <c r="M38" s="704"/>
      <c r="N38" s="704"/>
      <c r="O38" s="704"/>
      <c r="P38" s="704"/>
      <c r="Q38" s="657"/>
      <c r="AJ38" s="657"/>
      <c r="AK38" s="16" t="s">
        <v>877</v>
      </c>
      <c r="AL38" s="16">
        <v>5741</v>
      </c>
      <c r="AM38" s="16" t="s">
        <v>58</v>
      </c>
      <c r="AU38" t="s">
        <v>878</v>
      </c>
      <c r="AV38" t="s">
        <v>879</v>
      </c>
      <c r="AW38" t="s">
        <v>880</v>
      </c>
      <c r="AX38" s="700" t="s">
        <v>880</v>
      </c>
      <c r="AY38" s="700"/>
      <c r="AZ38" t="s">
        <v>880</v>
      </c>
      <c r="BB38" t="s">
        <v>881</v>
      </c>
    </row>
    <row r="39" spans="9:55" ht="33.75" customHeight="1" x14ac:dyDescent="0.3">
      <c r="I39" s="727"/>
      <c r="J39" s="733"/>
      <c r="K39" s="720"/>
      <c r="L39" s="720"/>
      <c r="M39" s="720"/>
      <c r="N39" s="720"/>
      <c r="O39" s="720"/>
      <c r="P39" s="720"/>
      <c r="Q39" s="658"/>
      <c r="AJ39" s="657"/>
      <c r="AK39" s="16" t="s">
        <v>882</v>
      </c>
      <c r="AL39" s="16">
        <v>10638</v>
      </c>
      <c r="AM39" s="16" t="s">
        <v>58</v>
      </c>
      <c r="AU39" t="s">
        <v>883</v>
      </c>
      <c r="AV39" t="s">
        <v>884</v>
      </c>
      <c r="AW39" t="s">
        <v>885</v>
      </c>
      <c r="AX39" s="700" t="s">
        <v>885</v>
      </c>
      <c r="AY39" s="700"/>
      <c r="AZ39" t="s">
        <v>885</v>
      </c>
      <c r="BB39" t="s">
        <v>885</v>
      </c>
    </row>
    <row r="40" spans="9:55" ht="15" customHeight="1" x14ac:dyDescent="0.3">
      <c r="I40" s="720"/>
      <c r="J40" s="719" t="s">
        <v>886</v>
      </c>
      <c r="K40" s="657" t="s">
        <v>887</v>
      </c>
      <c r="L40" s="657"/>
      <c r="M40" s="657"/>
      <c r="N40" s="657"/>
      <c r="O40" s="657"/>
      <c r="P40" s="657"/>
      <c r="Q40" s="658" t="s">
        <v>888</v>
      </c>
      <c r="AJ40" s="657"/>
      <c r="AK40" s="16" t="s">
        <v>889</v>
      </c>
      <c r="AL40" s="16">
        <v>2707</v>
      </c>
      <c r="AM40" s="16" t="s">
        <v>58</v>
      </c>
      <c r="AU40" t="s">
        <v>890</v>
      </c>
      <c r="AV40" t="s">
        <v>879</v>
      </c>
      <c r="AW40" t="s">
        <v>891</v>
      </c>
      <c r="AX40" s="700" t="s">
        <v>891</v>
      </c>
      <c r="AY40" s="700"/>
      <c r="AZ40" t="s">
        <v>891</v>
      </c>
      <c r="BB40" t="s">
        <v>891</v>
      </c>
    </row>
    <row r="41" spans="9:55" x14ac:dyDescent="0.3">
      <c r="I41" s="721"/>
      <c r="J41" s="719"/>
      <c r="K41" s="657"/>
      <c r="L41" s="657"/>
      <c r="M41" s="657"/>
      <c r="N41" s="657"/>
      <c r="O41" s="657"/>
      <c r="P41" s="657"/>
      <c r="Q41" s="727"/>
      <c r="AJ41" s="657"/>
      <c r="AK41" s="16" t="s">
        <v>892</v>
      </c>
      <c r="AL41" s="16">
        <v>12000</v>
      </c>
      <c r="AM41" s="16" t="s">
        <v>58</v>
      </c>
      <c r="AU41" s="700" t="s">
        <v>893</v>
      </c>
      <c r="AV41" s="700" t="s">
        <v>894</v>
      </c>
      <c r="AW41">
        <v>17.600000000000001</v>
      </c>
      <c r="AX41" s="700"/>
      <c r="AY41" s="700"/>
    </row>
    <row r="42" spans="9:55" x14ac:dyDescent="0.3">
      <c r="I42" s="721"/>
      <c r="J42" s="719"/>
      <c r="K42" s="657"/>
      <c r="L42" s="657"/>
      <c r="M42" s="657"/>
      <c r="N42" s="657"/>
      <c r="O42" s="657"/>
      <c r="P42" s="657"/>
      <c r="Q42" s="727"/>
      <c r="AJ42" s="657"/>
      <c r="AK42" s="16" t="s">
        <v>895</v>
      </c>
      <c r="AL42" s="16">
        <v>14310</v>
      </c>
      <c r="AM42" s="16" t="s">
        <v>58</v>
      </c>
      <c r="AU42" s="700"/>
      <c r="AV42" s="700"/>
      <c r="AW42" s="700" t="s">
        <v>896</v>
      </c>
      <c r="AX42" s="700"/>
      <c r="AY42" s="700"/>
      <c r="AZ42" s="700" t="s">
        <v>897</v>
      </c>
      <c r="BA42" s="700"/>
      <c r="BB42" s="700"/>
      <c r="BC42" s="700"/>
    </row>
    <row r="43" spans="9:55" x14ac:dyDescent="0.3">
      <c r="I43" s="721"/>
      <c r="J43" s="719"/>
      <c r="K43" s="657"/>
      <c r="L43" s="657"/>
      <c r="M43" s="657"/>
      <c r="N43" s="657"/>
      <c r="O43" s="657"/>
      <c r="P43" s="657"/>
      <c r="Q43" s="727"/>
      <c r="AJ43" s="657"/>
      <c r="AK43" s="16" t="s">
        <v>898</v>
      </c>
      <c r="AL43" s="16">
        <v>38069</v>
      </c>
      <c r="AM43" s="16" t="s">
        <v>58</v>
      </c>
      <c r="AU43" s="700"/>
      <c r="AV43" s="700"/>
      <c r="AW43" s="700"/>
      <c r="AX43" s="700"/>
      <c r="AY43" s="700"/>
      <c r="AZ43" s="700"/>
      <c r="BA43" s="700"/>
      <c r="BB43" s="700"/>
      <c r="BC43" s="700"/>
    </row>
    <row r="44" spans="9:55" x14ac:dyDescent="0.3">
      <c r="I44" s="721"/>
      <c r="J44" s="719"/>
      <c r="K44" s="657"/>
      <c r="L44" s="657"/>
      <c r="M44" s="657"/>
      <c r="N44" s="657"/>
      <c r="O44" s="657"/>
      <c r="P44" s="657"/>
      <c r="Q44" s="727"/>
      <c r="AJ44" s="657"/>
      <c r="AK44" s="16" t="s">
        <v>899</v>
      </c>
      <c r="AL44" s="16">
        <v>19414</v>
      </c>
      <c r="AM44" s="16" t="s">
        <v>58</v>
      </c>
      <c r="AU44" t="s">
        <v>900</v>
      </c>
      <c r="AV44" t="s">
        <v>851</v>
      </c>
      <c r="AW44" s="700" t="s">
        <v>901</v>
      </c>
      <c r="AX44" s="700"/>
      <c r="AY44" s="700"/>
      <c r="AZ44" s="700" t="s">
        <v>902</v>
      </c>
      <c r="BA44" s="700"/>
      <c r="BB44" s="700" t="s">
        <v>902</v>
      </c>
      <c r="BC44" s="700"/>
    </row>
    <row r="45" spans="9:55" x14ac:dyDescent="0.3">
      <c r="I45" s="721"/>
      <c r="J45" s="719"/>
      <c r="K45" s="657"/>
      <c r="L45" s="657"/>
      <c r="M45" s="657"/>
      <c r="N45" s="657"/>
      <c r="O45" s="657"/>
      <c r="P45" s="657"/>
      <c r="Q45" s="727"/>
      <c r="AJ45" s="657"/>
      <c r="AK45" s="16" t="s">
        <v>903</v>
      </c>
      <c r="AL45" s="16">
        <v>17741</v>
      </c>
      <c r="AM45" s="16" t="s">
        <v>58</v>
      </c>
      <c r="AU45" t="s">
        <v>904</v>
      </c>
      <c r="AW45" s="700"/>
      <c r="AX45" s="700"/>
      <c r="AY45" s="700"/>
      <c r="AZ45" s="700"/>
      <c r="BA45" s="700"/>
      <c r="BB45" s="700"/>
      <c r="BC45" s="700"/>
    </row>
    <row r="46" spans="9:55" x14ac:dyDescent="0.3">
      <c r="I46" s="722"/>
      <c r="J46" s="719"/>
      <c r="K46" s="657"/>
      <c r="L46" s="657"/>
      <c r="M46" s="657"/>
      <c r="N46" s="657"/>
      <c r="O46" s="657"/>
      <c r="P46" s="657"/>
      <c r="Q46" s="728"/>
      <c r="R46" s="724" t="s">
        <v>905</v>
      </c>
      <c r="S46" s="725"/>
      <c r="T46" s="725"/>
      <c r="U46" s="725"/>
      <c r="V46" s="725"/>
      <c r="W46" s="725"/>
      <c r="X46" s="725"/>
      <c r="Y46" s="725"/>
      <c r="Z46" s="725"/>
      <c r="AA46" s="725"/>
      <c r="AB46" s="725"/>
      <c r="AC46" s="725"/>
      <c r="AD46" s="726"/>
      <c r="AJ46" s="657"/>
      <c r="AK46" s="16" t="s">
        <v>906</v>
      </c>
      <c r="AL46" s="16">
        <v>18232</v>
      </c>
      <c r="AM46" s="16" t="s">
        <v>58</v>
      </c>
    </row>
    <row r="47" spans="9:55" x14ac:dyDescent="0.3">
      <c r="R47" s="440" t="s">
        <v>126</v>
      </c>
      <c r="S47" s="382"/>
      <c r="T47" s="382"/>
      <c r="U47" s="382"/>
      <c r="V47" s="339"/>
      <c r="W47" s="462" t="s">
        <v>907</v>
      </c>
      <c r="X47" s="463" t="s">
        <v>908</v>
      </c>
      <c r="Y47" s="463" t="s">
        <v>909</v>
      </c>
      <c r="Z47" s="463" t="s">
        <v>910</v>
      </c>
      <c r="AA47" s="463" t="s">
        <v>911</v>
      </c>
      <c r="AB47" s="463" t="s">
        <v>912</v>
      </c>
      <c r="AC47" s="463" t="s">
        <v>913</v>
      </c>
      <c r="AD47" s="464" t="s">
        <v>914</v>
      </c>
      <c r="AJ47" s="657"/>
      <c r="AK47" s="16" t="s">
        <v>915</v>
      </c>
      <c r="AL47" s="16">
        <v>4655</v>
      </c>
      <c r="AM47" s="16" t="s">
        <v>58</v>
      </c>
    </row>
    <row r="48" spans="9:55" ht="20.25" customHeight="1" x14ac:dyDescent="0.3">
      <c r="R48" s="437" t="s">
        <v>916</v>
      </c>
      <c r="S48" s="437" t="s">
        <v>917</v>
      </c>
      <c r="T48" s="437" t="s">
        <v>918</v>
      </c>
      <c r="U48" s="437" t="s">
        <v>919</v>
      </c>
      <c r="V48" s="453"/>
      <c r="W48" s="594" t="s">
        <v>920</v>
      </c>
      <c r="X48" s="595" t="s">
        <v>921</v>
      </c>
      <c r="Y48" s="595">
        <f>3.35*10^1</f>
        <v>33.5</v>
      </c>
      <c r="Z48" s="595">
        <f>3.42*10^2</f>
        <v>342</v>
      </c>
      <c r="AA48" s="595">
        <f>1.24*10^3</f>
        <v>1240</v>
      </c>
      <c r="AB48" s="595">
        <f>6.68*10^3</f>
        <v>6680</v>
      </c>
      <c r="AC48" s="595">
        <f>1.53*10^1</f>
        <v>15.3</v>
      </c>
      <c r="AD48" s="596">
        <f t="shared" ref="AD48:AD49" si="0">SUM(Y48:AC48)</f>
        <v>8310.7999999999993</v>
      </c>
      <c r="AJ48" s="718" t="s">
        <v>922</v>
      </c>
      <c r="AK48" s="16" t="s">
        <v>923</v>
      </c>
      <c r="AL48" s="16">
        <v>0.29299999999999998</v>
      </c>
      <c r="AM48" s="16" t="s">
        <v>861</v>
      </c>
    </row>
    <row r="49" spans="9:55" ht="14.25" customHeight="1" x14ac:dyDescent="0.3">
      <c r="I49" s="741" t="s">
        <v>827</v>
      </c>
      <c r="J49" s="725" t="s">
        <v>924</v>
      </c>
      <c r="K49" s="725"/>
      <c r="L49" s="739"/>
      <c r="M49" s="739"/>
      <c r="N49" s="740"/>
      <c r="R49" s="438" t="s">
        <v>925</v>
      </c>
      <c r="S49" s="16"/>
      <c r="T49" s="16"/>
      <c r="U49" s="16"/>
      <c r="V49" s="354"/>
      <c r="W49" s="457" t="s">
        <v>926</v>
      </c>
      <c r="X49" s="16" t="s">
        <v>927</v>
      </c>
      <c r="Y49" s="16">
        <f>6.31*10^-5</f>
        <v>6.3100000000000002E-5</v>
      </c>
      <c r="Z49" s="16">
        <f>1.19*10^-3</f>
        <v>1.1899999999999999E-3</v>
      </c>
      <c r="AA49" s="16">
        <f>2.28*10^-3</f>
        <v>2.2799999999999999E-3</v>
      </c>
      <c r="AB49" s="16">
        <f>3.11*10^-3</f>
        <v>3.1099999999999999E-3</v>
      </c>
      <c r="AC49" s="16">
        <f>2.88*10^-5</f>
        <v>2.8800000000000002E-5</v>
      </c>
      <c r="AD49" s="459">
        <f t="shared" si="0"/>
        <v>6.6718999999999997E-3</v>
      </c>
      <c r="AJ49" s="718"/>
      <c r="AK49" s="16" t="s">
        <v>928</v>
      </c>
      <c r="AL49" s="16">
        <v>0.72399999999999998</v>
      </c>
      <c r="AM49" s="16" t="s">
        <v>861</v>
      </c>
    </row>
    <row r="50" spans="9:55" x14ac:dyDescent="0.3">
      <c r="I50" s="742"/>
      <c r="L50" s="246" t="s">
        <v>55</v>
      </c>
      <c r="M50" s="242" t="s">
        <v>929</v>
      </c>
      <c r="N50" s="243" t="s">
        <v>930</v>
      </c>
      <c r="R50" s="576" t="s">
        <v>931</v>
      </c>
      <c r="S50" s="734" t="s">
        <v>932</v>
      </c>
      <c r="T50" s="734" t="s">
        <v>933</v>
      </c>
      <c r="U50" s="577">
        <v>55.43</v>
      </c>
      <c r="V50" s="578" t="s">
        <v>153</v>
      </c>
      <c r="W50" s="457" t="s">
        <v>934</v>
      </c>
      <c r="X50" s="16" t="s">
        <v>935</v>
      </c>
      <c r="Y50" s="454">
        <f>2.46*10^0</f>
        <v>2.46</v>
      </c>
      <c r="Z50" s="454">
        <f>4.45*10^0</f>
        <v>4.45</v>
      </c>
      <c r="AA50" s="455">
        <f>7.63*10^1</f>
        <v>76.3</v>
      </c>
      <c r="AB50" s="454">
        <f>3.27*10^3</f>
        <v>3270</v>
      </c>
      <c r="AC50" s="454">
        <f>1.12*10^0</f>
        <v>1.1200000000000001</v>
      </c>
      <c r="AD50" s="458">
        <f>SUM(Y50:AC50)</f>
        <v>3354.33</v>
      </c>
      <c r="AJ50" s="718"/>
      <c r="AK50" s="16" t="s">
        <v>432</v>
      </c>
      <c r="AL50" s="16">
        <v>0.29299999999999998</v>
      </c>
      <c r="AM50" s="16" t="s">
        <v>861</v>
      </c>
    </row>
    <row r="51" spans="9:55" ht="15" customHeight="1" x14ac:dyDescent="0.3">
      <c r="I51" s="742"/>
      <c r="J51" s="747" t="s">
        <v>56</v>
      </c>
      <c r="K51" s="244" t="s">
        <v>936</v>
      </c>
      <c r="L51" t="s">
        <v>937</v>
      </c>
      <c r="M51" s="40" t="s">
        <v>938</v>
      </c>
      <c r="N51" s="245" t="s">
        <v>159</v>
      </c>
      <c r="R51" s="576" t="s">
        <v>939</v>
      </c>
      <c r="S51" s="735"/>
      <c r="T51" s="735"/>
      <c r="U51" s="577">
        <v>18.47</v>
      </c>
      <c r="V51" s="578" t="s">
        <v>153</v>
      </c>
      <c r="W51" s="457" t="s">
        <v>940</v>
      </c>
      <c r="X51" s="16" t="s">
        <v>941</v>
      </c>
      <c r="Y51" s="16">
        <f>1.43*10^-1</f>
        <v>0.14299999999999999</v>
      </c>
      <c r="Z51" s="16">
        <f>5.7*10^-1</f>
        <v>0.57000000000000006</v>
      </c>
      <c r="AA51" s="16">
        <f>2.47*10^0</f>
        <v>2.4700000000000002</v>
      </c>
      <c r="AB51" s="16">
        <f>1.28*10^1</f>
        <v>12.8</v>
      </c>
      <c r="AC51" s="16">
        <f>6.54*10^-2</f>
        <v>6.54E-2</v>
      </c>
      <c r="AD51" s="458">
        <f t="shared" ref="AD51:AD59" si="1">SUM(Y51:AC51)</f>
        <v>16.048400000000001</v>
      </c>
      <c r="AJ51" s="718"/>
      <c r="AK51" s="16" t="s">
        <v>942</v>
      </c>
      <c r="AL51" s="16">
        <v>71897</v>
      </c>
      <c r="AM51" s="16" t="s">
        <v>88</v>
      </c>
    </row>
    <row r="52" spans="9:55" x14ac:dyDescent="0.3">
      <c r="I52" s="742"/>
      <c r="J52" s="748"/>
      <c r="K52" t="s">
        <v>943</v>
      </c>
      <c r="L52" t="s">
        <v>937</v>
      </c>
      <c r="M52" s="40" t="s">
        <v>944</v>
      </c>
      <c r="N52" s="245" t="s">
        <v>159</v>
      </c>
      <c r="R52" s="576" t="s">
        <v>945</v>
      </c>
      <c r="S52" s="736"/>
      <c r="T52" s="736"/>
      <c r="U52" s="577">
        <v>11.08</v>
      </c>
      <c r="V52" s="578" t="s">
        <v>153</v>
      </c>
      <c r="W52" s="457" t="s">
        <v>946</v>
      </c>
      <c r="X52" s="16" t="s">
        <v>947</v>
      </c>
      <c r="Y52" s="454">
        <f>9.66*10^-2</f>
        <v>9.6600000000000005E-2</v>
      </c>
      <c r="Z52" s="16">
        <f>3.53*10^-1</f>
        <v>0.35299999999999998</v>
      </c>
      <c r="AA52" s="16">
        <f>1.55*10^0</f>
        <v>1.55</v>
      </c>
      <c r="AB52" s="16">
        <f>9.99*10^0</f>
        <v>9.99</v>
      </c>
      <c r="AC52" s="16">
        <f>4.41*10^-2</f>
        <v>4.41E-2</v>
      </c>
      <c r="AD52" s="458">
        <f t="shared" si="1"/>
        <v>12.0337</v>
      </c>
    </row>
    <row r="53" spans="9:55" x14ac:dyDescent="0.3">
      <c r="I53" s="742"/>
      <c r="J53" s="748"/>
      <c r="K53" t="s">
        <v>948</v>
      </c>
      <c r="L53" t="s">
        <v>937</v>
      </c>
      <c r="M53" s="40" t="s">
        <v>949</v>
      </c>
      <c r="N53" s="245" t="s">
        <v>159</v>
      </c>
      <c r="R53" s="438" t="s">
        <v>950</v>
      </c>
      <c r="S53" s="16"/>
      <c r="T53" s="16"/>
      <c r="U53" s="16"/>
      <c r="V53" s="354"/>
      <c r="W53" s="457" t="s">
        <v>951</v>
      </c>
      <c r="X53" s="16" t="s">
        <v>941</v>
      </c>
      <c r="Y53" s="16">
        <f>1.52*10^-1</f>
        <v>0.15200000000000002</v>
      </c>
      <c r="Z53" s="16">
        <f>5.78*10^-1</f>
        <v>0.57800000000000007</v>
      </c>
      <c r="AA53" s="16">
        <f>2.53*10^0</f>
        <v>2.5299999999999998</v>
      </c>
      <c r="AB53" s="16">
        <f>1.29*10^1</f>
        <v>12.9</v>
      </c>
      <c r="AC53" s="16">
        <f>6.94*10^-2</f>
        <v>6.9400000000000003E-2</v>
      </c>
      <c r="AD53" s="458">
        <f>SUM(Y53:AC53)</f>
        <v>16.229400000000002</v>
      </c>
    </row>
    <row r="54" spans="9:55" ht="15" customHeight="1" x14ac:dyDescent="0.3">
      <c r="I54" s="742"/>
      <c r="J54" s="748"/>
      <c r="K54" t="s">
        <v>952</v>
      </c>
      <c r="L54" t="s">
        <v>937</v>
      </c>
      <c r="M54" s="40" t="s">
        <v>159</v>
      </c>
      <c r="N54" s="245" t="s">
        <v>953</v>
      </c>
      <c r="R54" s="576" t="s">
        <v>954</v>
      </c>
      <c r="S54" s="577"/>
      <c r="T54" s="577" t="s">
        <v>933</v>
      </c>
      <c r="U54" s="577">
        <v>9.2409999999999997</v>
      </c>
      <c r="V54" s="578"/>
      <c r="W54" s="457" t="s">
        <v>955</v>
      </c>
      <c r="X54" s="16" t="s">
        <v>956</v>
      </c>
      <c r="Y54" s="16">
        <f>2.86*10^-1</f>
        <v>0.28599999999999998</v>
      </c>
      <c r="Z54" s="16">
        <f>1.25*10^0</f>
        <v>1.25</v>
      </c>
      <c r="AA54" s="16">
        <f>5.53*10^0</f>
        <v>5.53</v>
      </c>
      <c r="AB54" s="16">
        <f>2.46*10^1</f>
        <v>24.6</v>
      </c>
      <c r="AC54" s="16">
        <f>1.31*10^-1</f>
        <v>0.13100000000000001</v>
      </c>
      <c r="AD54" s="458">
        <f t="shared" si="1"/>
        <v>31.797000000000004</v>
      </c>
      <c r="AJ54" s="752" t="s">
        <v>957</v>
      </c>
      <c r="AK54" s="752"/>
      <c r="AL54" s="752"/>
      <c r="AM54" s="752"/>
      <c r="AT54" s="701" t="s">
        <v>958</v>
      </c>
      <c r="AU54" s="756" t="s">
        <v>959</v>
      </c>
      <c r="AV54" s="757"/>
      <c r="AW54" s="757"/>
      <c r="AX54" s="757"/>
      <c r="AY54" s="757"/>
      <c r="AZ54" s="757"/>
      <c r="BA54" s="758"/>
      <c r="BB54" s="753" t="s">
        <v>960</v>
      </c>
      <c r="BC54" s="708"/>
    </row>
    <row r="55" spans="9:55" ht="19.5" customHeight="1" x14ac:dyDescent="0.3">
      <c r="I55" s="742"/>
      <c r="J55" s="748"/>
      <c r="K55" t="s">
        <v>961</v>
      </c>
      <c r="L55" t="s">
        <v>937</v>
      </c>
      <c r="M55" s="40" t="s">
        <v>159</v>
      </c>
      <c r="N55" s="245" t="s">
        <v>962</v>
      </c>
      <c r="R55" s="580" t="s">
        <v>963</v>
      </c>
      <c r="S55" s="581"/>
      <c r="T55" s="581" t="s">
        <v>964</v>
      </c>
      <c r="U55" s="581">
        <v>200</v>
      </c>
      <c r="V55" s="582" t="s">
        <v>58</v>
      </c>
      <c r="W55" s="457" t="s">
        <v>965</v>
      </c>
      <c r="X55" s="16" t="s">
        <v>966</v>
      </c>
      <c r="Y55" s="16">
        <f>2.77*10^-3</f>
        <v>2.7699999999999999E-3</v>
      </c>
      <c r="Z55" s="16">
        <f>6.44*10^-2</f>
        <v>6.4399999999999999E-2</v>
      </c>
      <c r="AA55" s="16">
        <f>3.14*10^-1</f>
        <v>0.31400000000000006</v>
      </c>
      <c r="AB55" s="16">
        <f>6.44*10^0</f>
        <v>6.44</v>
      </c>
      <c r="AC55" s="16">
        <f>1.26*10^-3</f>
        <v>1.2600000000000001E-3</v>
      </c>
      <c r="AD55" s="458">
        <f t="shared" si="1"/>
        <v>6.8224300000000007</v>
      </c>
      <c r="AJ55" s="752"/>
      <c r="AK55" s="752"/>
      <c r="AL55" s="752"/>
      <c r="AM55" s="752"/>
      <c r="AT55" s="702"/>
      <c r="AU55" s="755" t="s">
        <v>967</v>
      </c>
      <c r="AV55" s="704" t="s">
        <v>968</v>
      </c>
      <c r="AW55" s="704"/>
      <c r="AX55" s="704"/>
      <c r="AY55" s="704" t="s">
        <v>969</v>
      </c>
      <c r="AZ55" s="704"/>
      <c r="BA55" s="705"/>
      <c r="BB55" s="651"/>
      <c r="BC55" s="710"/>
    </row>
    <row r="56" spans="9:55" x14ac:dyDescent="0.3">
      <c r="I56" s="742"/>
      <c r="J56" s="748"/>
      <c r="K56" t="s">
        <v>970</v>
      </c>
      <c r="L56" t="s">
        <v>937</v>
      </c>
      <c r="M56" s="40" t="s">
        <v>971</v>
      </c>
      <c r="N56" s="245" t="s">
        <v>159</v>
      </c>
      <c r="R56" s="39" t="s">
        <v>972</v>
      </c>
      <c r="S56" s="16"/>
      <c r="T56" s="16"/>
      <c r="U56" s="16"/>
      <c r="V56" s="354"/>
      <c r="W56" s="457" t="s">
        <v>973</v>
      </c>
      <c r="X56" s="16" t="s">
        <v>974</v>
      </c>
      <c r="Y56" s="16">
        <f>2.92*10^-4</f>
        <v>2.92E-4</v>
      </c>
      <c r="Z56" s="16">
        <f>5.29*10^-1</f>
        <v>0.52900000000000003</v>
      </c>
      <c r="AA56" s="16">
        <f>8.23*10^-2</f>
        <v>8.2300000000000012E-2</v>
      </c>
      <c r="AB56" s="456">
        <f>4.57*10^-1</f>
        <v>0.45700000000000007</v>
      </c>
      <c r="AC56" s="16">
        <f>1.33*10^-4</f>
        <v>1.3300000000000001E-4</v>
      </c>
      <c r="AD56" s="458">
        <f t="shared" si="1"/>
        <v>1.0687250000000001</v>
      </c>
      <c r="AT56" s="702"/>
      <c r="AU56" s="755"/>
      <c r="AV56" s="16" t="s">
        <v>832</v>
      </c>
      <c r="AW56" s="16" t="s">
        <v>319</v>
      </c>
      <c r="AX56" s="16" t="s">
        <v>975</v>
      </c>
      <c r="AY56" s="16" t="s">
        <v>832</v>
      </c>
      <c r="AZ56" s="16" t="s">
        <v>319</v>
      </c>
      <c r="BA56" s="291" t="s">
        <v>975</v>
      </c>
      <c r="BB56" s="651"/>
      <c r="BC56" s="710"/>
    </row>
    <row r="57" spans="9:55" x14ac:dyDescent="0.3">
      <c r="I57" s="742"/>
      <c r="J57" s="748"/>
      <c r="K57" t="s">
        <v>976</v>
      </c>
      <c r="L57" t="s">
        <v>937</v>
      </c>
      <c r="M57" s="40" t="s">
        <v>977</v>
      </c>
      <c r="N57" s="245" t="s">
        <v>159</v>
      </c>
      <c r="R57" s="576" t="s">
        <v>978</v>
      </c>
      <c r="S57" s="577" t="s">
        <v>932</v>
      </c>
      <c r="T57" s="577" t="s">
        <v>933</v>
      </c>
      <c r="U57" s="577">
        <v>17.149999999999999</v>
      </c>
      <c r="V57" s="578" t="s">
        <v>153</v>
      </c>
      <c r="W57" s="457" t="s">
        <v>979</v>
      </c>
      <c r="X57" s="16" t="s">
        <v>980</v>
      </c>
      <c r="Y57" s="16">
        <f>1.13*10^2</f>
        <v>112.99999999999999</v>
      </c>
      <c r="Z57" s="16">
        <f>4.3*10^2</f>
        <v>430</v>
      </c>
      <c r="AA57" s="16">
        <f>4.14*10^3</f>
        <v>4140</v>
      </c>
      <c r="AB57" s="16">
        <f>5.27*10^3</f>
        <v>5270</v>
      </c>
      <c r="AC57" s="16">
        <f>5.15*10^1</f>
        <v>51.5</v>
      </c>
      <c r="AD57" s="458">
        <f t="shared" si="1"/>
        <v>10004.5</v>
      </c>
      <c r="AT57" s="702"/>
      <c r="AU57" s="457" t="s">
        <v>981</v>
      </c>
      <c r="AV57" s="16" t="s">
        <v>982</v>
      </c>
      <c r="AW57" s="39">
        <v>30.1</v>
      </c>
      <c r="AX57" s="16" t="s">
        <v>983</v>
      </c>
      <c r="AY57" s="16" t="s">
        <v>984</v>
      </c>
      <c r="AZ57" s="16">
        <v>1.1200000000000001</v>
      </c>
      <c r="BA57" s="291" t="s">
        <v>985</v>
      </c>
      <c r="BB57" s="651"/>
      <c r="BC57" s="710"/>
    </row>
    <row r="58" spans="9:55" x14ac:dyDescent="0.3">
      <c r="I58" s="742"/>
      <c r="J58" s="748"/>
      <c r="K58" t="s">
        <v>986</v>
      </c>
      <c r="L58" t="s">
        <v>937</v>
      </c>
      <c r="M58" s="40" t="s">
        <v>159</v>
      </c>
      <c r="N58" s="245" t="s">
        <v>159</v>
      </c>
      <c r="R58" s="714" t="s">
        <v>987</v>
      </c>
      <c r="S58" s="16" t="s">
        <v>988</v>
      </c>
      <c r="T58" s="16" t="s">
        <v>989</v>
      </c>
      <c r="U58" s="16">
        <v>400</v>
      </c>
      <c r="V58" s="354" t="s">
        <v>58</v>
      </c>
      <c r="W58" s="457" t="s">
        <v>990</v>
      </c>
      <c r="X58" s="16" t="s">
        <v>980</v>
      </c>
      <c r="Y58" s="16">
        <f>3.91*10^-1</f>
        <v>0.39100000000000001</v>
      </c>
      <c r="Z58" s="16">
        <f>1.16*10^1</f>
        <v>11.6</v>
      </c>
      <c r="AA58" s="16">
        <f>6.74*10^1</f>
        <v>67.400000000000006</v>
      </c>
      <c r="AB58" s="16">
        <f>3*10^2</f>
        <v>300</v>
      </c>
      <c r="AC58" s="16">
        <f>1.78*10^-1</f>
        <v>0.17800000000000002</v>
      </c>
      <c r="AD58" s="458">
        <f t="shared" si="1"/>
        <v>379.56900000000002</v>
      </c>
      <c r="AT58" s="702"/>
      <c r="AU58" s="457" t="s">
        <v>991</v>
      </c>
      <c r="AV58" s="16" t="s">
        <v>982</v>
      </c>
      <c r="AW58" s="39">
        <v>15.2</v>
      </c>
      <c r="AX58" s="16"/>
      <c r="AY58" s="16"/>
      <c r="AZ58" s="16"/>
      <c r="BA58" s="291"/>
      <c r="BB58" s="651"/>
      <c r="BC58" s="710"/>
    </row>
    <row r="59" spans="9:55" x14ac:dyDescent="0.3">
      <c r="I59" s="742"/>
      <c r="J59" s="748"/>
      <c r="K59" s="573" t="s">
        <v>81</v>
      </c>
      <c r="L59" s="573" t="s">
        <v>992</v>
      </c>
      <c r="M59" s="574" t="s">
        <v>993</v>
      </c>
      <c r="N59" s="575" t="s">
        <v>994</v>
      </c>
      <c r="R59" s="731"/>
      <c r="S59" s="16" t="s">
        <v>995</v>
      </c>
      <c r="T59" s="16"/>
      <c r="U59" s="16">
        <v>160</v>
      </c>
      <c r="V59" s="354" t="s">
        <v>58</v>
      </c>
      <c r="W59" s="457" t="s">
        <v>996</v>
      </c>
      <c r="X59" s="16" t="s">
        <v>980</v>
      </c>
      <c r="Y59" s="16">
        <f>6.92*10^-1</f>
        <v>0.69200000000000006</v>
      </c>
      <c r="Z59" s="16">
        <f>1.39*10^1</f>
        <v>13.899999999999999</v>
      </c>
      <c r="AA59" s="16">
        <f>8.81*10^1</f>
        <v>88.100000000000009</v>
      </c>
      <c r="AB59" s="16">
        <f>3.98*10^2</f>
        <v>398</v>
      </c>
      <c r="AC59" s="16">
        <f>3.16*10^-1</f>
        <v>0.31600000000000006</v>
      </c>
      <c r="AD59" s="458">
        <f t="shared" si="1"/>
        <v>501.00799999999998</v>
      </c>
      <c r="AT59" s="702"/>
      <c r="AU59" s="457" t="s">
        <v>997</v>
      </c>
      <c r="AV59" s="16" t="s">
        <v>998</v>
      </c>
      <c r="AW59" s="39">
        <v>44.8</v>
      </c>
      <c r="AX59" s="16" t="s">
        <v>999</v>
      </c>
      <c r="AY59" s="16" t="s">
        <v>1000</v>
      </c>
      <c r="AZ59" s="16">
        <v>0.08</v>
      </c>
      <c r="BA59" s="291" t="s">
        <v>985</v>
      </c>
      <c r="BB59" s="651"/>
      <c r="BC59" s="710"/>
    </row>
    <row r="60" spans="9:55" x14ac:dyDescent="0.3">
      <c r="I60" s="742"/>
      <c r="J60" s="748"/>
      <c r="K60" t="s">
        <v>1001</v>
      </c>
      <c r="L60" t="s">
        <v>1002</v>
      </c>
      <c r="M60" s="40" t="s">
        <v>1003</v>
      </c>
      <c r="N60" s="245" t="s">
        <v>1004</v>
      </c>
      <c r="R60" s="731"/>
      <c r="S60" s="16" t="s">
        <v>1005</v>
      </c>
      <c r="T60" s="16"/>
      <c r="U60" s="16">
        <v>160</v>
      </c>
      <c r="V60" s="354" t="s">
        <v>58</v>
      </c>
      <c r="W60" s="457" t="s">
        <v>1006</v>
      </c>
      <c r="X60" s="16" t="s">
        <v>980</v>
      </c>
      <c r="Y60" s="16">
        <f>2.01*10^0</f>
        <v>2.0099999999999998</v>
      </c>
      <c r="Z60" s="16">
        <f>1.04*10^1</f>
        <v>10.4</v>
      </c>
      <c r="AA60" s="16">
        <f>8.66*10^1</f>
        <v>86.6</v>
      </c>
      <c r="AB60" s="16">
        <f>5.57*10^2</f>
        <v>557</v>
      </c>
      <c r="AC60" s="16">
        <f>9.1*10^-1</f>
        <v>0.91</v>
      </c>
      <c r="AD60" s="458">
        <f t="shared" ref="AD60:AD65" si="2">SUM(Y60:AC60)</f>
        <v>656.92</v>
      </c>
      <c r="AT60" s="702"/>
      <c r="AU60" s="457" t="s">
        <v>1007</v>
      </c>
      <c r="AV60" s="16" t="s">
        <v>998</v>
      </c>
      <c r="AW60" s="39">
        <v>15.6</v>
      </c>
      <c r="AX60" s="16" t="s">
        <v>1008</v>
      </c>
      <c r="AY60" s="16"/>
      <c r="AZ60" s="16"/>
      <c r="BA60" s="291"/>
      <c r="BB60" s="651"/>
      <c r="BC60" s="710"/>
    </row>
    <row r="61" spans="9:55" ht="14.25" customHeight="1" x14ac:dyDescent="0.3">
      <c r="I61" s="742"/>
      <c r="J61" s="748"/>
      <c r="K61" s="99" t="s">
        <v>981</v>
      </c>
      <c r="L61" s="99" t="s">
        <v>937</v>
      </c>
      <c r="M61" s="198" t="s">
        <v>1009</v>
      </c>
      <c r="N61" s="579" t="s">
        <v>1010</v>
      </c>
      <c r="R61" s="731"/>
      <c r="S61" s="577" t="s">
        <v>932</v>
      </c>
      <c r="T61" s="577" t="s">
        <v>933</v>
      </c>
      <c r="U61" s="577">
        <v>12.01</v>
      </c>
      <c r="V61" s="578" t="s">
        <v>153</v>
      </c>
      <c r="W61" s="457" t="s">
        <v>1011</v>
      </c>
      <c r="X61" s="16" t="s">
        <v>980</v>
      </c>
      <c r="Y61" s="16">
        <f>1.22*10^1</f>
        <v>12.2</v>
      </c>
      <c r="Z61" s="16">
        <f>7.01*10^-1</f>
        <v>0.70100000000000007</v>
      </c>
      <c r="AA61" s="16">
        <f>1.09*10^3</f>
        <v>1090</v>
      </c>
      <c r="AB61" s="16">
        <f>8.54*10^3</f>
        <v>8540</v>
      </c>
      <c r="AC61" s="16">
        <f>5.55*10^0</f>
        <v>5.55</v>
      </c>
      <c r="AD61" s="458">
        <f t="shared" si="2"/>
        <v>9648.4509999999991</v>
      </c>
      <c r="AT61" s="702"/>
      <c r="AU61" s="457" t="s">
        <v>1012</v>
      </c>
      <c r="AV61" s="16" t="s">
        <v>982</v>
      </c>
      <c r="AW61" s="39">
        <v>58.7</v>
      </c>
      <c r="AX61" s="16" t="s">
        <v>1013</v>
      </c>
      <c r="AY61" s="16" t="s">
        <v>1014</v>
      </c>
      <c r="AZ61" s="16">
        <v>5.68</v>
      </c>
      <c r="BA61" s="291" t="s">
        <v>985</v>
      </c>
      <c r="BB61" s="651"/>
      <c r="BC61" s="710"/>
    </row>
    <row r="62" spans="9:55" x14ac:dyDescent="0.3">
      <c r="I62" s="742"/>
      <c r="J62" s="748"/>
      <c r="K62" s="583" t="s">
        <v>322</v>
      </c>
      <c r="L62" s="583" t="s">
        <v>1015</v>
      </c>
      <c r="M62" s="584" t="s">
        <v>1016</v>
      </c>
      <c r="N62" s="585" t="s">
        <v>1017</v>
      </c>
      <c r="R62" s="731"/>
      <c r="S62" s="16" t="s">
        <v>1018</v>
      </c>
      <c r="T62" s="16" t="s">
        <v>1019</v>
      </c>
      <c r="U62" s="16">
        <v>0.5</v>
      </c>
      <c r="V62" s="354" t="s">
        <v>153</v>
      </c>
      <c r="W62" s="457" t="s">
        <v>1020</v>
      </c>
      <c r="X62" s="16" t="s">
        <v>1021</v>
      </c>
      <c r="Y62" s="16">
        <f>4.41*10^-1</f>
        <v>0.44100000000000006</v>
      </c>
      <c r="Z62" s="16">
        <f>2.51*10^2</f>
        <v>250.99999999999997</v>
      </c>
      <c r="AA62" s="16">
        <f>4.61*10^1</f>
        <v>46.1</v>
      </c>
      <c r="AB62" s="16">
        <f>1.83*10^2</f>
        <v>183</v>
      </c>
      <c r="AC62" s="16">
        <f>2.01*10^-1</f>
        <v>0.20099999999999998</v>
      </c>
      <c r="AD62" s="458">
        <f t="shared" si="2"/>
        <v>480.74200000000002</v>
      </c>
      <c r="AT62" s="702"/>
      <c r="AU62" s="457" t="s">
        <v>1022</v>
      </c>
      <c r="AV62" s="16" t="s">
        <v>982</v>
      </c>
      <c r="AW62" s="39">
        <v>17.100000000000001</v>
      </c>
      <c r="AX62" s="16" t="s">
        <v>1013</v>
      </c>
      <c r="AY62" s="16" t="s">
        <v>984</v>
      </c>
      <c r="AZ62" s="16">
        <v>1.0900000000000001</v>
      </c>
      <c r="BA62" s="291" t="s">
        <v>985</v>
      </c>
      <c r="BB62" s="651"/>
      <c r="BC62" s="710"/>
    </row>
    <row r="63" spans="9:55" x14ac:dyDescent="0.3">
      <c r="I63" s="743"/>
      <c r="J63" s="749" t="s">
        <v>83</v>
      </c>
      <c r="K63" s="590" t="s">
        <v>1023</v>
      </c>
      <c r="L63" s="590" t="s">
        <v>937</v>
      </c>
      <c r="M63" s="591" t="s">
        <v>1024</v>
      </c>
      <c r="N63" s="592" t="s">
        <v>1025</v>
      </c>
      <c r="R63" s="731"/>
      <c r="S63" s="16" t="s">
        <v>1026</v>
      </c>
      <c r="T63" s="16" t="s">
        <v>1027</v>
      </c>
      <c r="U63" s="16">
        <v>2.5</v>
      </c>
      <c r="V63" s="354" t="s">
        <v>153</v>
      </c>
      <c r="W63" s="457" t="s">
        <v>1028</v>
      </c>
      <c r="X63" s="16" t="s">
        <v>1029</v>
      </c>
      <c r="Y63" s="16">
        <f>5.83*10^-2</f>
        <v>5.8300000000000005E-2</v>
      </c>
      <c r="Z63" s="16">
        <f>6.2*10^-1</f>
        <v>0.62000000000000011</v>
      </c>
      <c r="AA63" s="16">
        <f>1.53*10^1</f>
        <v>15.3</v>
      </c>
      <c r="AB63" s="16">
        <f>1*10^1</f>
        <v>10</v>
      </c>
      <c r="AC63" s="16">
        <f>2.66*10^-2</f>
        <v>2.6600000000000002E-2</v>
      </c>
      <c r="AD63" s="458">
        <f t="shared" si="2"/>
        <v>26.004899999999999</v>
      </c>
      <c r="AT63" s="702"/>
      <c r="AU63" s="457" t="s">
        <v>1030</v>
      </c>
      <c r="AV63" s="16" t="s">
        <v>982</v>
      </c>
      <c r="AW63" s="39">
        <v>8.83</v>
      </c>
      <c r="AX63" s="16" t="s">
        <v>1013</v>
      </c>
      <c r="AY63" s="16" t="s">
        <v>984</v>
      </c>
      <c r="AZ63" s="16">
        <v>0.52</v>
      </c>
      <c r="BA63" s="291" t="s">
        <v>985</v>
      </c>
      <c r="BB63" s="651"/>
      <c r="BC63" s="710"/>
    </row>
    <row r="64" spans="9:55" x14ac:dyDescent="0.3">
      <c r="I64" s="743"/>
      <c r="J64" s="750"/>
      <c r="K64" t="s">
        <v>1031</v>
      </c>
      <c r="L64" t="s">
        <v>937</v>
      </c>
      <c r="M64" s="40" t="s">
        <v>1032</v>
      </c>
      <c r="N64" s="245" t="s">
        <v>1033</v>
      </c>
      <c r="R64" s="731"/>
      <c r="S64" s="16" t="s">
        <v>1034</v>
      </c>
      <c r="T64" s="16"/>
      <c r="U64" s="16">
        <v>21</v>
      </c>
      <c r="V64" s="354"/>
      <c r="W64" s="457" t="s">
        <v>1035</v>
      </c>
      <c r="X64" s="16" t="s">
        <v>1036</v>
      </c>
      <c r="Y64" s="16">
        <f>8.1*10^1</f>
        <v>81</v>
      </c>
      <c r="Z64" s="16">
        <f>4.13*10^-1</f>
        <v>0.41300000000000003</v>
      </c>
      <c r="AA64" s="16">
        <f>4.77*10^2</f>
        <v>476.99999999999994</v>
      </c>
      <c r="AB64" s="16">
        <f>1.78*10^3</f>
        <v>1780</v>
      </c>
      <c r="AC64" s="16">
        <f>3.7*10^1</f>
        <v>37</v>
      </c>
      <c r="AD64" s="458">
        <f t="shared" si="2"/>
        <v>2375.413</v>
      </c>
      <c r="AT64" s="702"/>
      <c r="AU64" s="604" t="s">
        <v>1037</v>
      </c>
      <c r="AV64" s="605" t="s">
        <v>982</v>
      </c>
      <c r="AW64" s="570">
        <v>354</v>
      </c>
      <c r="AX64" s="605" t="s">
        <v>1038</v>
      </c>
      <c r="AY64" s="605" t="s">
        <v>984</v>
      </c>
      <c r="AZ64" s="605">
        <v>23.3</v>
      </c>
      <c r="BA64" s="606" t="s">
        <v>985</v>
      </c>
      <c r="BB64" s="651"/>
      <c r="BC64" s="710"/>
    </row>
    <row r="65" spans="9:55" ht="183" customHeight="1" x14ac:dyDescent="0.3">
      <c r="I65" s="743"/>
      <c r="J65" s="750"/>
      <c r="K65" s="50" t="s">
        <v>117</v>
      </c>
      <c r="L65" s="50" t="s">
        <v>937</v>
      </c>
      <c r="M65" s="3">
        <v>8.76</v>
      </c>
      <c r="N65" s="610">
        <v>30.92</v>
      </c>
      <c r="R65" s="731"/>
      <c r="S65" s="16" t="s">
        <v>1039</v>
      </c>
      <c r="T65" s="16"/>
      <c r="U65" s="16">
        <v>0.51</v>
      </c>
      <c r="V65" s="354"/>
      <c r="W65" s="460" t="s">
        <v>1040</v>
      </c>
      <c r="X65" s="296" t="s">
        <v>67</v>
      </c>
      <c r="Y65" s="296">
        <f>3.33*10^-2</f>
        <v>3.3300000000000003E-2</v>
      </c>
      <c r="Z65" s="296">
        <f>1.95*10^2</f>
        <v>195</v>
      </c>
      <c r="AA65" s="296">
        <f>2.88*10^1</f>
        <v>28.799999999999997</v>
      </c>
      <c r="AB65" s="296">
        <f>3.91*10^4</f>
        <v>39100</v>
      </c>
      <c r="AC65" s="296">
        <f>1.52*10^-2</f>
        <v>1.52E-2</v>
      </c>
      <c r="AD65" s="461">
        <f t="shared" si="2"/>
        <v>39323.8485</v>
      </c>
      <c r="AT65" s="702"/>
      <c r="AU65" s="706" t="s">
        <v>1041</v>
      </c>
      <c r="AV65" s="707"/>
      <c r="AW65" s="707"/>
      <c r="AX65" s="707"/>
      <c r="AY65" s="707"/>
      <c r="AZ65" s="707"/>
      <c r="BA65" s="708"/>
      <c r="BB65" s="651"/>
      <c r="BC65" s="710"/>
    </row>
    <row r="66" spans="9:55" ht="30.75" customHeight="1" x14ac:dyDescent="0.3">
      <c r="I66" s="743"/>
      <c r="J66" s="750"/>
      <c r="K66" s="50" t="s">
        <v>95</v>
      </c>
      <c r="L66" s="50" t="s">
        <v>937</v>
      </c>
      <c r="M66" s="3">
        <v>5.04</v>
      </c>
      <c r="N66" s="610">
        <v>18.670000000000002</v>
      </c>
      <c r="R66" s="715"/>
      <c r="S66" s="16" t="s">
        <v>1042</v>
      </c>
      <c r="T66" s="16"/>
      <c r="U66" s="16">
        <v>11</v>
      </c>
      <c r="V66" s="16"/>
      <c r="AT66" s="702"/>
      <c r="AU66" s="709"/>
      <c r="AV66" s="657"/>
      <c r="AW66" s="657"/>
      <c r="AX66" s="657"/>
      <c r="AY66" s="657"/>
      <c r="AZ66" s="657"/>
      <c r="BA66" s="710"/>
      <c r="BB66" s="651"/>
      <c r="BC66" s="710"/>
    </row>
    <row r="67" spans="9:55" x14ac:dyDescent="0.3">
      <c r="I67" s="743"/>
      <c r="J67" s="750"/>
      <c r="K67" s="50" t="s">
        <v>1043</v>
      </c>
      <c r="L67" s="50" t="s">
        <v>937</v>
      </c>
      <c r="M67" s="3">
        <v>0.64</v>
      </c>
      <c r="N67" s="610">
        <v>0.85</v>
      </c>
      <c r="R67" s="438" t="s">
        <v>912</v>
      </c>
      <c r="S67" s="16"/>
      <c r="T67" s="16"/>
      <c r="V67" s="16"/>
      <c r="AT67" s="702"/>
      <c r="AU67" s="709"/>
      <c r="AV67" s="657"/>
      <c r="AW67" s="657"/>
      <c r="AX67" s="657"/>
      <c r="AY67" s="657"/>
      <c r="AZ67" s="657"/>
      <c r="BA67" s="710"/>
      <c r="BB67" s="651"/>
      <c r="BC67" s="710"/>
    </row>
    <row r="68" spans="9:55" x14ac:dyDescent="0.3">
      <c r="I68" s="743"/>
      <c r="J68" s="750"/>
      <c r="K68" s="50" t="s">
        <v>116</v>
      </c>
      <c r="L68" s="50" t="s">
        <v>937</v>
      </c>
      <c r="M68" s="3">
        <v>1</v>
      </c>
      <c r="N68" s="610">
        <v>1</v>
      </c>
      <c r="R68" s="586" t="s">
        <v>1044</v>
      </c>
      <c r="S68" s="587"/>
      <c r="T68" s="587" t="s">
        <v>964</v>
      </c>
      <c r="U68" s="587">
        <v>39000</v>
      </c>
      <c r="V68" s="587" t="s">
        <v>67</v>
      </c>
      <c r="AT68" s="703"/>
      <c r="AU68" s="711"/>
      <c r="AV68" s="712"/>
      <c r="AW68" s="712"/>
      <c r="AX68" s="712"/>
      <c r="AY68" s="712"/>
      <c r="AZ68" s="712"/>
      <c r="BA68" s="713"/>
      <c r="BB68" s="754"/>
      <c r="BC68" s="713"/>
    </row>
    <row r="69" spans="9:55" x14ac:dyDescent="0.3">
      <c r="I69" s="743"/>
      <c r="J69" s="750"/>
      <c r="K69" s="616" t="s">
        <v>97</v>
      </c>
      <c r="L69" s="616" t="s">
        <v>937</v>
      </c>
      <c r="M69" s="617">
        <v>258.92</v>
      </c>
      <c r="N69" s="618">
        <v>174.13</v>
      </c>
      <c r="R69" s="438" t="s">
        <v>913</v>
      </c>
      <c r="S69" s="16"/>
      <c r="T69" s="16"/>
      <c r="V69" s="16"/>
      <c r="X69" s="704" t="s">
        <v>1045</v>
      </c>
      <c r="Y69" s="704"/>
      <c r="Z69" s="704"/>
      <c r="AA69" s="704"/>
    </row>
    <row r="70" spans="9:55" x14ac:dyDescent="0.3">
      <c r="I70" s="743"/>
      <c r="J70" s="750"/>
      <c r="K70" s="50" t="s">
        <v>101</v>
      </c>
      <c r="L70" s="50" t="s">
        <v>937</v>
      </c>
      <c r="M70" s="3">
        <v>1.0900000000000001</v>
      </c>
      <c r="N70" s="610">
        <v>2.75</v>
      </c>
      <c r="R70" s="614" t="s">
        <v>954</v>
      </c>
      <c r="S70" s="615"/>
      <c r="T70" s="615" t="s">
        <v>933</v>
      </c>
      <c r="U70" s="615">
        <v>38.79</v>
      </c>
      <c r="V70" s="615" t="s">
        <v>153</v>
      </c>
      <c r="X70" s="463" t="s">
        <v>1046</v>
      </c>
      <c r="Y70" s="463" t="s">
        <v>1047</v>
      </c>
      <c r="Z70" s="463" t="s">
        <v>1048</v>
      </c>
      <c r="AA70" s="463" t="s">
        <v>1049</v>
      </c>
    </row>
    <row r="71" spans="9:55" x14ac:dyDescent="0.3">
      <c r="I71" s="743"/>
      <c r="J71" s="751"/>
      <c r="K71" s="621" t="s">
        <v>99</v>
      </c>
      <c r="L71" s="621" t="s">
        <v>937</v>
      </c>
      <c r="M71" s="622">
        <v>148.44</v>
      </c>
      <c r="N71" s="623">
        <v>330.72</v>
      </c>
      <c r="R71" s="437" t="s">
        <v>166</v>
      </c>
      <c r="S71" s="16"/>
      <c r="T71" s="16"/>
      <c r="U71" s="16"/>
      <c r="V71" s="16"/>
      <c r="X71" s="64" t="s">
        <v>1050</v>
      </c>
      <c r="Y71" s="64" t="s">
        <v>1051</v>
      </c>
      <c r="Z71" s="568">
        <f>(1.3*10^0)-(2.8*10^0)</f>
        <v>-1.4999999999999998</v>
      </c>
      <c r="AA71" s="64" t="s">
        <v>1052</v>
      </c>
    </row>
    <row r="72" spans="9:55" ht="30" customHeight="1" x14ac:dyDescent="0.3">
      <c r="I72" s="743"/>
      <c r="J72" s="745" t="s">
        <v>1053</v>
      </c>
      <c r="K72" s="670"/>
      <c r="L72" s="670"/>
      <c r="M72" s="670"/>
      <c r="N72" s="746"/>
      <c r="R72" s="588" t="s">
        <v>1054</v>
      </c>
      <c r="S72" s="589"/>
      <c r="T72" s="589"/>
      <c r="U72" s="589">
        <v>7000</v>
      </c>
      <c r="V72" s="589" t="s">
        <v>58</v>
      </c>
      <c r="X72" s="64" t="s">
        <v>1055</v>
      </c>
      <c r="Y72" s="64"/>
      <c r="Z72" s="64">
        <f>3.15*10^0</f>
        <v>3.15</v>
      </c>
      <c r="AA72" s="64" t="s">
        <v>1052</v>
      </c>
    </row>
    <row r="73" spans="9:55" x14ac:dyDescent="0.3">
      <c r="I73" s="743"/>
      <c r="J73" s="248" t="s">
        <v>1056</v>
      </c>
      <c r="K73" s="247" t="s">
        <v>1057</v>
      </c>
      <c r="L73" s="247" t="s">
        <v>832</v>
      </c>
      <c r="M73" s="247" t="s">
        <v>1058</v>
      </c>
      <c r="N73" s="249" t="s">
        <v>131</v>
      </c>
      <c r="R73" s="439" t="s">
        <v>1059</v>
      </c>
      <c r="S73" s="16"/>
      <c r="T73" s="16"/>
      <c r="U73" s="16"/>
      <c r="V73" s="16"/>
      <c r="X73" s="714" t="s">
        <v>1060</v>
      </c>
      <c r="Y73" s="64" t="s">
        <v>1061</v>
      </c>
      <c r="Z73" s="608">
        <f>3.16*10^3</f>
        <v>3160</v>
      </c>
      <c r="AA73" s="64" t="s">
        <v>905</v>
      </c>
    </row>
    <row r="74" spans="9:55" x14ac:dyDescent="0.3">
      <c r="I74" s="743"/>
      <c r="J74" s="593" t="s">
        <v>1062</v>
      </c>
      <c r="K74" t="s">
        <v>1063</v>
      </c>
      <c r="L74" t="s">
        <v>1064</v>
      </c>
      <c r="M74">
        <v>0.28999999999999998</v>
      </c>
      <c r="N74" s="218">
        <v>0.32</v>
      </c>
      <c r="R74" s="619" t="s">
        <v>97</v>
      </c>
      <c r="S74" s="620"/>
      <c r="T74" s="620"/>
      <c r="U74" s="620">
        <v>7435.9</v>
      </c>
      <c r="V74" s="620" t="s">
        <v>1065</v>
      </c>
      <c r="X74" s="715"/>
      <c r="Y74" s="64"/>
      <c r="Z74" s="64">
        <f>4.57*10^2</f>
        <v>457</v>
      </c>
      <c r="AA74" s="64" t="s">
        <v>1066</v>
      </c>
    </row>
    <row r="75" spans="9:55" x14ac:dyDescent="0.3">
      <c r="I75" s="743"/>
      <c r="J75" s="593" t="s">
        <v>1067</v>
      </c>
      <c r="K75" t="s">
        <v>1063</v>
      </c>
      <c r="L75" t="s">
        <v>980</v>
      </c>
      <c r="M75">
        <v>28.79</v>
      </c>
      <c r="N75" s="218">
        <v>22.3</v>
      </c>
      <c r="R75" s="619" t="s">
        <v>99</v>
      </c>
      <c r="S75" s="620"/>
      <c r="T75" s="620"/>
      <c r="U75" s="620">
        <v>683</v>
      </c>
      <c r="V75" s="620" t="s">
        <v>1065</v>
      </c>
      <c r="X75" s="64" t="s">
        <v>1068</v>
      </c>
      <c r="Y75" s="64" t="s">
        <v>1069</v>
      </c>
      <c r="Z75" s="608">
        <f>1.26*10^1</f>
        <v>12.6</v>
      </c>
      <c r="AA75" s="64" t="s">
        <v>905</v>
      </c>
    </row>
    <row r="76" spans="9:55" x14ac:dyDescent="0.3">
      <c r="I76" s="743"/>
      <c r="J76" s="593" t="s">
        <v>1070</v>
      </c>
      <c r="K76" t="s">
        <v>1063</v>
      </c>
      <c r="L76" t="s">
        <v>980</v>
      </c>
      <c r="M76">
        <v>20.92</v>
      </c>
      <c r="N76" s="218">
        <v>15.4</v>
      </c>
      <c r="R76" s="39" t="s">
        <v>1071</v>
      </c>
      <c r="S76" s="16"/>
      <c r="T76" s="16"/>
      <c r="U76" s="16">
        <v>159</v>
      </c>
      <c r="V76" s="16" t="s">
        <v>1065</v>
      </c>
      <c r="X76" s="64" t="s">
        <v>1072</v>
      </c>
      <c r="Y76" s="64"/>
      <c r="Z76" s="608">
        <f>1.67*10^1</f>
        <v>16.7</v>
      </c>
      <c r="AA76" s="64" t="s">
        <v>905</v>
      </c>
    </row>
    <row r="77" spans="9:55" ht="28.8" x14ac:dyDescent="0.3">
      <c r="I77" s="743"/>
      <c r="J77" s="593" t="s">
        <v>1073</v>
      </c>
      <c r="K77" t="s">
        <v>1063</v>
      </c>
      <c r="L77" t="s">
        <v>935</v>
      </c>
      <c r="M77">
        <v>0.36</v>
      </c>
      <c r="N77" s="218">
        <v>0.21</v>
      </c>
      <c r="R77" s="39" t="s">
        <v>1074</v>
      </c>
      <c r="S77" s="16"/>
      <c r="T77" s="16"/>
      <c r="U77" s="16">
        <v>43.7</v>
      </c>
      <c r="V77" s="11" t="s">
        <v>1065</v>
      </c>
      <c r="X77" s="64" t="s">
        <v>1075</v>
      </c>
      <c r="Y77" s="64" t="s">
        <v>1076</v>
      </c>
      <c r="Z77" s="568">
        <f>1.27*10^4-1.49*10^4</f>
        <v>-2200</v>
      </c>
      <c r="AA77" s="64" t="s">
        <v>905</v>
      </c>
    </row>
    <row r="78" spans="9:55" x14ac:dyDescent="0.3">
      <c r="I78" s="743"/>
      <c r="J78" s="593" t="s">
        <v>1077</v>
      </c>
      <c r="K78" t="s">
        <v>1063</v>
      </c>
      <c r="L78" t="s">
        <v>1078</v>
      </c>
      <c r="M78">
        <v>0.45</v>
      </c>
      <c r="N78" s="218">
        <v>0.31</v>
      </c>
      <c r="R78" s="437" t="s">
        <v>1079</v>
      </c>
      <c r="S78" s="16"/>
      <c r="T78" s="16"/>
      <c r="U78" s="16"/>
      <c r="V78" s="16"/>
      <c r="X78" s="64" t="s">
        <v>1080</v>
      </c>
      <c r="Y78" s="64" t="s">
        <v>1081</v>
      </c>
      <c r="Z78" s="64">
        <f>4.27*10^2</f>
        <v>426.99999999999994</v>
      </c>
      <c r="AA78" s="64" t="s">
        <v>1066</v>
      </c>
    </row>
    <row r="79" spans="9:55" x14ac:dyDescent="0.3">
      <c r="I79" s="743"/>
      <c r="J79" s="593" t="s">
        <v>1082</v>
      </c>
      <c r="K79" t="s">
        <v>1063</v>
      </c>
      <c r="L79" t="s">
        <v>927</v>
      </c>
      <c r="M79">
        <v>0.3</v>
      </c>
      <c r="N79" s="218">
        <v>0.36</v>
      </c>
      <c r="R79" s="39" t="s">
        <v>1083</v>
      </c>
      <c r="S79" s="16"/>
      <c r="T79" s="16"/>
      <c r="U79" s="16">
        <v>0.755</v>
      </c>
      <c r="V79" s="16" t="s">
        <v>1084</v>
      </c>
      <c r="X79" s="64" t="s">
        <v>1085</v>
      </c>
      <c r="Y79" s="64"/>
      <c r="Z79" s="64">
        <f>2.98*10^2</f>
        <v>298</v>
      </c>
      <c r="AA79" s="64" t="s">
        <v>1066</v>
      </c>
    </row>
    <row r="80" spans="9:55" x14ac:dyDescent="0.3">
      <c r="I80" s="743"/>
      <c r="J80" s="593" t="s">
        <v>1086</v>
      </c>
      <c r="K80" t="s">
        <v>1087</v>
      </c>
      <c r="L80" t="s">
        <v>1088</v>
      </c>
      <c r="M80">
        <v>0.49</v>
      </c>
      <c r="N80" s="218">
        <v>0.42</v>
      </c>
      <c r="R80" s="39" t="s">
        <v>1089</v>
      </c>
      <c r="S80" s="16"/>
      <c r="T80" s="16"/>
      <c r="U80" s="16">
        <v>5.33E-2</v>
      </c>
      <c r="V80" s="16" t="s">
        <v>1084</v>
      </c>
      <c r="X80" s="64" t="s">
        <v>1090</v>
      </c>
      <c r="Y80" s="64" t="s">
        <v>1091</v>
      </c>
      <c r="Z80" s="64">
        <f>1.3*10^3</f>
        <v>1300</v>
      </c>
      <c r="AA80" s="64" t="s">
        <v>1066</v>
      </c>
    </row>
    <row r="81" spans="9:27" x14ac:dyDescent="0.3">
      <c r="I81" s="743"/>
      <c r="J81" s="593" t="s">
        <v>1092</v>
      </c>
      <c r="K81" t="s">
        <v>1087</v>
      </c>
      <c r="L81" t="s">
        <v>1029</v>
      </c>
      <c r="M81">
        <v>0.01</v>
      </c>
      <c r="N81" s="218">
        <v>0.01</v>
      </c>
      <c r="R81" s="437" t="s">
        <v>1093</v>
      </c>
      <c r="S81" s="16"/>
      <c r="T81" s="16"/>
      <c r="U81" s="16"/>
      <c r="V81" s="16"/>
      <c r="X81" s="64" t="s">
        <v>1094</v>
      </c>
      <c r="Y81" s="64" t="s">
        <v>1095</v>
      </c>
      <c r="Z81" s="64">
        <f>1.39*10^3</f>
        <v>1390</v>
      </c>
      <c r="AA81" s="64" t="s">
        <v>1096</v>
      </c>
    </row>
    <row r="82" spans="9:27" x14ac:dyDescent="0.3">
      <c r="I82" s="743"/>
      <c r="J82" s="593" t="s">
        <v>1097</v>
      </c>
      <c r="K82" t="s">
        <v>1087</v>
      </c>
      <c r="L82" t="s">
        <v>67</v>
      </c>
      <c r="M82">
        <v>11.91</v>
      </c>
      <c r="N82" s="218">
        <v>9.25</v>
      </c>
      <c r="R82" s="39" t="s">
        <v>1098</v>
      </c>
      <c r="S82" s="16"/>
      <c r="T82" s="16"/>
      <c r="U82" s="16">
        <v>4.0300000000000002E-2</v>
      </c>
      <c r="V82" s="16" t="s">
        <v>974</v>
      </c>
      <c r="X82" s="64" t="s">
        <v>1099</v>
      </c>
      <c r="Y82" s="64" t="s">
        <v>1100</v>
      </c>
      <c r="Z82" s="64">
        <f>1.98*10^0</f>
        <v>1.98</v>
      </c>
      <c r="AA82" s="64" t="s">
        <v>1052</v>
      </c>
    </row>
    <row r="83" spans="9:27" x14ac:dyDescent="0.3">
      <c r="I83" s="743"/>
      <c r="J83" s="593" t="s">
        <v>1101</v>
      </c>
      <c r="K83" t="s">
        <v>1102</v>
      </c>
      <c r="L83" t="s">
        <v>980</v>
      </c>
      <c r="M83">
        <v>1.27</v>
      </c>
      <c r="N83" s="218">
        <v>0.48</v>
      </c>
      <c r="R83" s="39" t="s">
        <v>542</v>
      </c>
      <c r="S83" s="16"/>
      <c r="T83" s="16"/>
      <c r="U83" s="16">
        <v>0.56000000000000005</v>
      </c>
      <c r="V83" s="16" t="s">
        <v>974</v>
      </c>
      <c r="X83" s="64" t="s">
        <v>1103</v>
      </c>
      <c r="Y83" s="64" t="s">
        <v>1104</v>
      </c>
      <c r="Z83" s="64">
        <f>2.88*10^0</f>
        <v>2.88</v>
      </c>
      <c r="AA83" s="64" t="s">
        <v>1052</v>
      </c>
    </row>
    <row r="84" spans="9:27" x14ac:dyDescent="0.3">
      <c r="I84" s="743"/>
      <c r="J84" s="593" t="s">
        <v>1105</v>
      </c>
      <c r="K84" t="s">
        <v>1102</v>
      </c>
      <c r="L84" t="s">
        <v>966</v>
      </c>
      <c r="M84">
        <v>1.33</v>
      </c>
      <c r="N84" s="218">
        <v>1.24</v>
      </c>
      <c r="R84" s="39" t="s">
        <v>542</v>
      </c>
      <c r="S84" s="16"/>
      <c r="T84" s="16"/>
      <c r="U84" s="16">
        <v>1E-4</v>
      </c>
      <c r="V84" s="16" t="s">
        <v>974</v>
      </c>
      <c r="X84" s="64" t="s">
        <v>1106</v>
      </c>
      <c r="Y84" s="64"/>
      <c r="Z84" s="64">
        <f>6.4*10^-1</f>
        <v>0.64000000000000012</v>
      </c>
      <c r="AA84" s="64" t="s">
        <v>1052</v>
      </c>
    </row>
    <row r="85" spans="9:27" x14ac:dyDescent="0.3">
      <c r="I85" s="743"/>
      <c r="J85" s="612" t="s">
        <v>1107</v>
      </c>
      <c r="K85" s="78" t="s">
        <v>1102</v>
      </c>
      <c r="L85" s="78" t="s">
        <v>1021</v>
      </c>
      <c r="M85" s="78">
        <v>0.04</v>
      </c>
      <c r="N85" s="613">
        <v>0.02</v>
      </c>
      <c r="R85" s="39" t="s">
        <v>1108</v>
      </c>
      <c r="S85" s="16"/>
      <c r="T85" s="16"/>
      <c r="U85" s="16">
        <v>2.3599999999999999E-2</v>
      </c>
      <c r="V85" s="16" t="s">
        <v>974</v>
      </c>
    </row>
    <row r="86" spans="9:27" x14ac:dyDescent="0.3">
      <c r="I86" s="743"/>
      <c r="J86" s="593" t="s">
        <v>1109</v>
      </c>
      <c r="K86" t="s">
        <v>1102</v>
      </c>
      <c r="L86" t="s">
        <v>980</v>
      </c>
      <c r="M86">
        <v>91.47</v>
      </c>
      <c r="N86" s="218">
        <v>77.17</v>
      </c>
    </row>
    <row r="87" spans="9:27" x14ac:dyDescent="0.3">
      <c r="I87" s="743"/>
      <c r="J87" s="593" t="s">
        <v>1110</v>
      </c>
      <c r="K87" t="s">
        <v>1102</v>
      </c>
      <c r="L87" t="s">
        <v>974</v>
      </c>
      <c r="M87">
        <v>0.06</v>
      </c>
      <c r="N87" s="218">
        <v>0.41</v>
      </c>
    </row>
    <row r="88" spans="9:27" x14ac:dyDescent="0.3">
      <c r="I88" s="743"/>
      <c r="J88" s="593" t="s">
        <v>1111</v>
      </c>
      <c r="K88" t="s">
        <v>1102</v>
      </c>
      <c r="L88" t="s">
        <v>1078</v>
      </c>
      <c r="M88">
        <v>0.06</v>
      </c>
      <c r="N88" s="218">
        <v>0.03</v>
      </c>
    </row>
    <row r="89" spans="9:27" x14ac:dyDescent="0.3">
      <c r="I89" s="743"/>
      <c r="J89" s="593" t="s">
        <v>1112</v>
      </c>
      <c r="K89" t="s">
        <v>1102</v>
      </c>
      <c r="L89" t="s">
        <v>956</v>
      </c>
      <c r="M89">
        <v>0.21</v>
      </c>
      <c r="N89" s="218">
        <v>1.06</v>
      </c>
    </row>
    <row r="90" spans="9:27" x14ac:dyDescent="0.3">
      <c r="I90" s="743"/>
      <c r="J90" s="593" t="s">
        <v>1113</v>
      </c>
      <c r="K90" t="s">
        <v>1102</v>
      </c>
      <c r="L90" t="s">
        <v>1114</v>
      </c>
      <c r="M90">
        <v>4.3499999999999996</v>
      </c>
      <c r="N90" s="218">
        <v>2.21</v>
      </c>
    </row>
    <row r="91" spans="9:27" x14ac:dyDescent="0.3">
      <c r="I91" s="743"/>
      <c r="J91" s="597" t="s">
        <v>1115</v>
      </c>
      <c r="K91" s="598" t="s">
        <v>1116</v>
      </c>
      <c r="L91" s="598" t="s">
        <v>812</v>
      </c>
      <c r="M91" s="598">
        <v>0.38</v>
      </c>
      <c r="N91" s="599">
        <v>0.72</v>
      </c>
    </row>
    <row r="92" spans="9:27" x14ac:dyDescent="0.3">
      <c r="I92" s="742"/>
      <c r="J92" s="690" t="s">
        <v>1117</v>
      </c>
      <c r="K92" s="690"/>
      <c r="L92" s="690"/>
      <c r="M92" s="690"/>
      <c r="N92" s="690"/>
      <c r="O92" s="244"/>
      <c r="P92" s="739" t="s">
        <v>1118</v>
      </c>
      <c r="Q92" s="740"/>
    </row>
    <row r="93" spans="9:27" x14ac:dyDescent="0.3">
      <c r="I93" s="742"/>
      <c r="J93" t="s">
        <v>1119</v>
      </c>
      <c r="K93" t="s">
        <v>1120</v>
      </c>
      <c r="L93" t="s">
        <v>131</v>
      </c>
      <c r="M93" t="s">
        <v>908</v>
      </c>
      <c r="N93" t="s">
        <v>1121</v>
      </c>
      <c r="O93" t="s">
        <v>920</v>
      </c>
      <c r="P93" t="s">
        <v>1120</v>
      </c>
      <c r="Q93" s="218" t="s">
        <v>131</v>
      </c>
    </row>
    <row r="94" spans="9:27" x14ac:dyDescent="0.3">
      <c r="I94" s="742"/>
      <c r="J94" t="s">
        <v>97</v>
      </c>
      <c r="K94">
        <v>258.92</v>
      </c>
      <c r="L94">
        <v>174.13</v>
      </c>
      <c r="M94" t="s">
        <v>937</v>
      </c>
      <c r="N94" t="s">
        <v>1122</v>
      </c>
      <c r="O94">
        <v>1</v>
      </c>
      <c r="P94">
        <v>258.92</v>
      </c>
      <c r="Q94" s="218">
        <v>174.13</v>
      </c>
    </row>
    <row r="95" spans="9:27" x14ac:dyDescent="0.3">
      <c r="I95" s="742"/>
      <c r="J95" t="s">
        <v>101</v>
      </c>
      <c r="K95">
        <v>1.0900000000000001</v>
      </c>
      <c r="L95">
        <v>2.75</v>
      </c>
      <c r="M95" t="s">
        <v>937</v>
      </c>
      <c r="N95" t="s">
        <v>1122</v>
      </c>
      <c r="O95">
        <v>298</v>
      </c>
      <c r="P95">
        <v>324.82</v>
      </c>
      <c r="Q95" s="218">
        <v>819.5</v>
      </c>
    </row>
    <row r="96" spans="9:27" x14ac:dyDescent="0.3">
      <c r="I96" s="744"/>
      <c r="J96" s="247" t="s">
        <v>99</v>
      </c>
      <c r="K96" s="247">
        <v>148.44</v>
      </c>
      <c r="L96" s="247">
        <v>330.72</v>
      </c>
      <c r="M96" s="247" t="s">
        <v>937</v>
      </c>
      <c r="N96" s="247" t="s">
        <v>1122</v>
      </c>
      <c r="O96" s="247">
        <v>25</v>
      </c>
      <c r="P96" s="247">
        <v>3711</v>
      </c>
      <c r="Q96" s="249">
        <v>8268</v>
      </c>
    </row>
    <row r="97" spans="10:31" x14ac:dyDescent="0.3">
      <c r="J97" t="s">
        <v>914</v>
      </c>
      <c r="P97">
        <v>4294.74</v>
      </c>
      <c r="Q97">
        <v>9261.6299999999992</v>
      </c>
      <c r="Z97" s="40"/>
      <c r="AA97" s="40"/>
      <c r="AB97" s="40"/>
      <c r="AC97" s="40"/>
      <c r="AD97" s="40"/>
    </row>
    <row r="98" spans="10:31" x14ac:dyDescent="0.3">
      <c r="Y98" s="749" t="s">
        <v>351</v>
      </c>
      <c r="Z98" s="737" t="s">
        <v>1123</v>
      </c>
      <c r="AA98" s="718"/>
      <c r="AB98" s="718"/>
      <c r="AC98" s="718"/>
      <c r="AD98" s="718"/>
      <c r="AE98" s="718"/>
    </row>
    <row r="99" spans="10:31" x14ac:dyDescent="0.3">
      <c r="Y99" s="750"/>
      <c r="Z99" s="607"/>
      <c r="AA99" s="64" t="s">
        <v>932</v>
      </c>
      <c r="AB99" s="64" t="s">
        <v>1124</v>
      </c>
      <c r="AC99" s="64" t="s">
        <v>1125</v>
      </c>
      <c r="AD99" s="64" t="s">
        <v>1126</v>
      </c>
      <c r="AE99" s="64" t="s">
        <v>920</v>
      </c>
    </row>
    <row r="100" spans="10:31" x14ac:dyDescent="0.3">
      <c r="Y100" s="750"/>
      <c r="Z100" s="607" t="s">
        <v>1127</v>
      </c>
      <c r="AA100" s="600">
        <f>((U50+U51+U52+U54+U57+U61+U70)+170.4)/2</f>
        <v>166.28550000000001</v>
      </c>
      <c r="AB100" s="600">
        <f>(U55+79.14)/2</f>
        <v>139.57</v>
      </c>
      <c r="AC100" s="64">
        <f>(U68+11000)/2</f>
        <v>25000</v>
      </c>
      <c r="AD100" s="64">
        <f>(U72+3490+6000+5800)/4</f>
        <v>5572.5</v>
      </c>
      <c r="AE100" s="601">
        <f>(P97+Z73+AD48)/3</f>
        <v>5255.1799999999994</v>
      </c>
    </row>
    <row r="101" spans="10:31" x14ac:dyDescent="0.3">
      <c r="Y101" s="751"/>
      <c r="Z101" s="607"/>
      <c r="AA101" s="64" t="s">
        <v>992</v>
      </c>
      <c r="AB101" s="64" t="s">
        <v>937</v>
      </c>
      <c r="AC101" s="64" t="s">
        <v>1015</v>
      </c>
      <c r="AD101" s="64" t="s">
        <v>937</v>
      </c>
      <c r="AE101" s="64" t="s">
        <v>1128</v>
      </c>
    </row>
    <row r="103" spans="10:31" x14ac:dyDescent="0.3">
      <c r="Z103" s="40"/>
      <c r="AA103" s="40"/>
      <c r="AB103" s="40"/>
      <c r="AC103" s="40"/>
      <c r="AD103" s="40"/>
    </row>
    <row r="104" spans="10:31" x14ac:dyDescent="0.3">
      <c r="Z104" s="40"/>
      <c r="AA104" s="40"/>
      <c r="AB104" s="40"/>
      <c r="AC104" s="40"/>
      <c r="AD104" s="40"/>
    </row>
    <row r="105" spans="10:31" x14ac:dyDescent="0.3">
      <c r="Z105" s="40"/>
      <c r="AA105" s="40"/>
      <c r="AB105" s="40"/>
      <c r="AC105" s="40"/>
      <c r="AD105" s="40"/>
    </row>
    <row r="106" spans="10:31" x14ac:dyDescent="0.3">
      <c r="Z106" s="40"/>
      <c r="AA106" s="40"/>
      <c r="AB106" s="40"/>
      <c r="AC106" s="40"/>
      <c r="AD106" s="40"/>
    </row>
    <row r="113" spans="9:14" x14ac:dyDescent="0.3">
      <c r="I113" s="738" t="s">
        <v>1129</v>
      </c>
      <c r="J113" s="738"/>
      <c r="K113" s="738"/>
      <c r="L113" s="738"/>
      <c r="M113" s="738"/>
      <c r="N113" s="738"/>
    </row>
    <row r="114" spans="9:14" x14ac:dyDescent="0.3">
      <c r="I114" s="738"/>
      <c r="J114" s="738"/>
      <c r="K114" s="738"/>
      <c r="L114" s="738"/>
      <c r="M114" s="738"/>
      <c r="N114" s="738"/>
    </row>
    <row r="115" spans="9:14" x14ac:dyDescent="0.3">
      <c r="I115" s="738"/>
      <c r="J115" s="738"/>
      <c r="K115" s="738"/>
      <c r="L115" s="738"/>
      <c r="M115" s="738"/>
      <c r="N115" s="738"/>
    </row>
    <row r="116" spans="9:14" x14ac:dyDescent="0.3">
      <c r="I116" s="738"/>
      <c r="J116" s="738"/>
      <c r="K116" s="738"/>
      <c r="L116" s="738"/>
      <c r="M116" s="738"/>
      <c r="N116" s="738"/>
    </row>
    <row r="117" spans="9:14" x14ac:dyDescent="0.3">
      <c r="I117" s="738"/>
      <c r="J117" s="738"/>
      <c r="K117" s="738"/>
      <c r="L117" s="738"/>
      <c r="M117" s="738"/>
      <c r="N117" s="738"/>
    </row>
    <row r="118" spans="9:14" x14ac:dyDescent="0.3">
      <c r="I118" s="738"/>
      <c r="J118" s="738"/>
      <c r="K118" s="738"/>
      <c r="L118" s="738"/>
      <c r="M118" s="738"/>
      <c r="N118" s="738"/>
    </row>
    <row r="119" spans="9:14" x14ac:dyDescent="0.3">
      <c r="I119" s="738"/>
      <c r="J119" s="738"/>
      <c r="K119" s="738"/>
      <c r="L119" s="738"/>
      <c r="M119" s="738"/>
      <c r="N119" s="738"/>
    </row>
  </sheetData>
  <mergeCells count="100">
    <mergeCell ref="Y98:Y101"/>
    <mergeCell ref="AJ54:AM55"/>
    <mergeCell ref="BB54:BC68"/>
    <mergeCell ref="AU55:AU56"/>
    <mergeCell ref="AU54:BA54"/>
    <mergeCell ref="S50:S52"/>
    <mergeCell ref="T50:T52"/>
    <mergeCell ref="Z98:AE98"/>
    <mergeCell ref="I113:N119"/>
    <mergeCell ref="Z7:AE12"/>
    <mergeCell ref="Z13:AE14"/>
    <mergeCell ref="R58:R66"/>
    <mergeCell ref="Q21:Q22"/>
    <mergeCell ref="R46:AD46"/>
    <mergeCell ref="J92:N92"/>
    <mergeCell ref="P92:Q92"/>
    <mergeCell ref="I49:I96"/>
    <mergeCell ref="J49:N49"/>
    <mergeCell ref="J72:N72"/>
    <mergeCell ref="J51:J62"/>
    <mergeCell ref="J63:J71"/>
    <mergeCell ref="AF7:AF12"/>
    <mergeCell ref="Y7:Y12"/>
    <mergeCell ref="Z15:AE20"/>
    <mergeCell ref="AF13:AF20"/>
    <mergeCell ref="Y13:Y20"/>
    <mergeCell ref="G8:H8"/>
    <mergeCell ref="Q32:Q39"/>
    <mergeCell ref="I21:I22"/>
    <mergeCell ref="I24:I31"/>
    <mergeCell ref="I32:I39"/>
    <mergeCell ref="J21:J22"/>
    <mergeCell ref="K24:P31"/>
    <mergeCell ref="J24:J31"/>
    <mergeCell ref="J32:J39"/>
    <mergeCell ref="K32:P39"/>
    <mergeCell ref="Q24:Q31"/>
    <mergeCell ref="G13:H13"/>
    <mergeCell ref="J40:J46"/>
    <mergeCell ref="I40:I46"/>
    <mergeCell ref="Y21:Y22"/>
    <mergeCell ref="AF21:AF22"/>
    <mergeCell ref="AJ26:AM26"/>
    <mergeCell ref="K40:P46"/>
    <mergeCell ref="Q40:Q46"/>
    <mergeCell ref="AF23:AF26"/>
    <mergeCell ref="Z21:AE22"/>
    <mergeCell ref="AJ28:AJ30"/>
    <mergeCell ref="AJ32:AJ34"/>
    <mergeCell ref="AJ35:AJ47"/>
    <mergeCell ref="X73:X74"/>
    <mergeCell ref="X69:AA69"/>
    <mergeCell ref="Z23:AE26"/>
    <mergeCell ref="Y23:Y26"/>
    <mergeCell ref="AJ48:AJ51"/>
    <mergeCell ref="AU26:BC26"/>
    <mergeCell ref="AX27:AY27"/>
    <mergeCell ref="AZ27:BA27"/>
    <mergeCell ref="BB27:BC27"/>
    <mergeCell ref="AW28:BA28"/>
    <mergeCell ref="BB28:BC28"/>
    <mergeCell ref="AY29:BA29"/>
    <mergeCell ref="BB29:BC29"/>
    <mergeCell ref="AY30:BA30"/>
    <mergeCell ref="BB30:BC30"/>
    <mergeCell ref="AU31:AU33"/>
    <mergeCell ref="AV31:AV33"/>
    <mergeCell ref="AY31:BA31"/>
    <mergeCell ref="BB31:BC31"/>
    <mergeCell ref="AW32:BC32"/>
    <mergeCell ref="AW33:AW34"/>
    <mergeCell ref="AX33:AY34"/>
    <mergeCell ref="AZ33:AZ34"/>
    <mergeCell ref="BA33:BA34"/>
    <mergeCell ref="BB33:BB34"/>
    <mergeCell ref="BC33:BC34"/>
    <mergeCell ref="AU34:AV34"/>
    <mergeCell ref="AX35:AY35"/>
    <mergeCell ref="AX36:AY36"/>
    <mergeCell ref="AX37:AY37"/>
    <mergeCell ref="AX38:AY38"/>
    <mergeCell ref="AX39:AY39"/>
    <mergeCell ref="AX40:AY40"/>
    <mergeCell ref="AU41:AU43"/>
    <mergeCell ref="AV41:AV43"/>
    <mergeCell ref="AX41:AY41"/>
    <mergeCell ref="AW42:AY43"/>
    <mergeCell ref="AZ42:BC42"/>
    <mergeCell ref="AZ43:BA43"/>
    <mergeCell ref="BB43:BC43"/>
    <mergeCell ref="AW44:AY44"/>
    <mergeCell ref="AZ44:BA44"/>
    <mergeCell ref="BB44:BC44"/>
    <mergeCell ref="AW45:AY45"/>
    <mergeCell ref="AZ45:BA45"/>
    <mergeCell ref="BB45:BC45"/>
    <mergeCell ref="AT54:AT68"/>
    <mergeCell ref="AV55:AX55"/>
    <mergeCell ref="AY55:BA55"/>
    <mergeCell ref="AU65:BA68"/>
  </mergeCells>
  <hyperlinks>
    <hyperlink ref="AF23" r:id="rId1" xr:uid="{EC66910B-5DD7-4D85-8D58-96DD54BE5F8F}"/>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PRODUTOS</vt:lpstr>
      <vt:lpstr>Frangos</vt:lpstr>
      <vt:lpstr>Ovos</vt:lpstr>
      <vt:lpstr>Azeite</vt:lpstr>
      <vt:lpstr>Queijo</vt:lpstr>
      <vt:lpstr>Viticultura</vt:lpstr>
      <vt:lpstr>Vinho Tinto</vt:lpstr>
      <vt:lpstr>Vinho V_B</vt:lpstr>
      <vt:lpstr>Arroz</vt:lpstr>
      <vt:lpstr>Porcos</vt:lpstr>
      <vt:lpstr>Citrinos</vt:lpstr>
      <vt:lpstr>Pasta de Papel</vt:lpstr>
      <vt:lpstr>Pasta e Papel </vt:lpstr>
      <vt:lpstr>Construção</vt:lpstr>
      <vt:lpstr>R. Piloto</vt:lpstr>
      <vt:lpstr>Fator d'importância face ao PIB</vt:lpstr>
      <vt:lpstr>Beiras</vt:lpstr>
      <vt:lpstr>Viseu</vt:lpstr>
      <vt:lpstr>Coimbra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Cecolab24</dc:creator>
  <cp:keywords/>
  <dc:description/>
  <cp:lastModifiedBy>cecol</cp:lastModifiedBy>
  <cp:revision/>
  <dcterms:created xsi:type="dcterms:W3CDTF">2023-05-05T10:27:46Z</dcterms:created>
  <dcterms:modified xsi:type="dcterms:W3CDTF">2023-07-19T09:27:16Z</dcterms:modified>
  <cp:category/>
  <cp:contentStatus/>
</cp:coreProperties>
</file>